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0" yWindow="0" windowWidth="10540" windowHeight="7780" tabRatio="500" activeTab="1"/>
  </bookViews>
  <sheets>
    <sheet name="Base Case" sheetId="2" r:id="rId1"/>
    <sheet name="Worst Case" sheetId="1" r:id="rId2"/>
    <sheet name="Best Case" sheetId="4" r:id="rId3"/>
    <sheet name="Beta Assessment" sheetId="5" r:id="rId4"/>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29" i="2"/>
  <c r="R27"/>
  <c r="Q27"/>
  <c r="P27"/>
  <c r="O27"/>
  <c r="N27"/>
  <c r="M27"/>
  <c r="L27"/>
  <c r="K27"/>
  <c r="J27"/>
  <c r="I27"/>
  <c r="H27"/>
  <c r="G27"/>
  <c r="F27"/>
  <c r="E27"/>
  <c r="D27"/>
  <c r="C27"/>
  <c r="B27"/>
  <c r="R26"/>
  <c r="Q26"/>
  <c r="P26"/>
  <c r="O26"/>
  <c r="N26"/>
  <c r="M26"/>
  <c r="L26"/>
  <c r="K26"/>
  <c r="J26"/>
  <c r="I26"/>
  <c r="H26"/>
  <c r="G26"/>
  <c r="F26"/>
  <c r="E26"/>
  <c r="D26"/>
  <c r="C26"/>
  <c r="B26"/>
  <c r="K24"/>
  <c r="J24"/>
  <c r="I24"/>
  <c r="H24"/>
  <c r="G24"/>
  <c r="F24"/>
  <c r="E24"/>
  <c r="D24"/>
  <c r="R23"/>
  <c r="Q23"/>
  <c r="P23"/>
  <c r="O23"/>
  <c r="N23"/>
  <c r="M23"/>
  <c r="L23"/>
  <c r="K23"/>
  <c r="J23"/>
  <c r="I23"/>
  <c r="H23"/>
  <c r="G23"/>
  <c r="F23"/>
  <c r="E23"/>
  <c r="D23"/>
  <c r="R22"/>
  <c r="D22"/>
  <c r="R21"/>
  <c r="B21"/>
  <c r="C20"/>
  <c r="B20"/>
  <c r="R19"/>
  <c r="Q19"/>
  <c r="P19"/>
  <c r="O19"/>
  <c r="N19"/>
  <c r="M19"/>
  <c r="L19"/>
  <c r="K19"/>
  <c r="J19"/>
  <c r="I19"/>
  <c r="H19"/>
  <c r="G19"/>
  <c r="F19"/>
  <c r="E19"/>
  <c r="D19"/>
  <c r="C19"/>
  <c r="B19"/>
  <c r="B13"/>
  <c r="L12"/>
  <c r="E11"/>
  <c r="K10"/>
  <c r="E10"/>
  <c r="E9"/>
  <c r="J8"/>
  <c r="J7"/>
  <c r="B26" i="4"/>
  <c r="R24"/>
  <c r="Q24"/>
  <c r="P24"/>
  <c r="O24"/>
  <c r="N24"/>
  <c r="M24"/>
  <c r="L24"/>
  <c r="K24"/>
  <c r="J24"/>
  <c r="I24"/>
  <c r="H24"/>
  <c r="G24"/>
  <c r="F24"/>
  <c r="E24"/>
  <c r="D24"/>
  <c r="C24"/>
  <c r="B24"/>
  <c r="R23"/>
  <c r="Q23"/>
  <c r="P23"/>
  <c r="O23"/>
  <c r="N23"/>
  <c r="M23"/>
  <c r="L23"/>
  <c r="K23"/>
  <c r="J23"/>
  <c r="I23"/>
  <c r="H23"/>
  <c r="G23"/>
  <c r="F23"/>
  <c r="E23"/>
  <c r="D23"/>
  <c r="C23"/>
  <c r="B23"/>
  <c r="K21"/>
  <c r="J21"/>
  <c r="I21"/>
  <c r="H21"/>
  <c r="G21"/>
  <c r="F21"/>
  <c r="E21"/>
  <c r="D21"/>
  <c r="R20"/>
  <c r="Q20"/>
  <c r="P20"/>
  <c r="O20"/>
  <c r="N20"/>
  <c r="M20"/>
  <c r="L20"/>
  <c r="K20"/>
  <c r="J20"/>
  <c r="I20"/>
  <c r="H20"/>
  <c r="G20"/>
  <c r="F20"/>
  <c r="E20"/>
  <c r="D20"/>
  <c r="R19"/>
  <c r="D19"/>
  <c r="R18"/>
  <c r="B18"/>
  <c r="C17"/>
  <c r="B17"/>
  <c r="R16"/>
  <c r="Q16"/>
  <c r="P16"/>
  <c r="O16"/>
  <c r="N16"/>
  <c r="M16"/>
  <c r="L16"/>
  <c r="K16"/>
  <c r="J16"/>
  <c r="I16"/>
  <c r="H16"/>
  <c r="G16"/>
  <c r="F16"/>
  <c r="E16"/>
  <c r="D16"/>
  <c r="C16"/>
  <c r="B16"/>
  <c r="B10"/>
  <c r="L9"/>
  <c r="E8"/>
  <c r="K7"/>
  <c r="E7"/>
  <c r="E6"/>
  <c r="J5"/>
  <c r="A5"/>
  <c r="J4"/>
  <c r="B29" i="5"/>
  <c r="R27"/>
  <c r="Q27"/>
  <c r="P27"/>
  <c r="O27"/>
  <c r="N27"/>
  <c r="M27"/>
  <c r="L27"/>
  <c r="K27"/>
  <c r="J27"/>
  <c r="I27"/>
  <c r="H27"/>
  <c r="G27"/>
  <c r="F27"/>
  <c r="E27"/>
  <c r="D27"/>
  <c r="C27"/>
  <c r="B27"/>
  <c r="R26"/>
  <c r="Q26"/>
  <c r="P26"/>
  <c r="O26"/>
  <c r="N26"/>
  <c r="M26"/>
  <c r="L26"/>
  <c r="K26"/>
  <c r="J26"/>
  <c r="I26"/>
  <c r="H26"/>
  <c r="G26"/>
  <c r="F26"/>
  <c r="E26"/>
  <c r="D26"/>
  <c r="C26"/>
  <c r="B26"/>
  <c r="K24"/>
  <c r="J24"/>
  <c r="I24"/>
  <c r="H24"/>
  <c r="G24"/>
  <c r="F24"/>
  <c r="E24"/>
  <c r="D24"/>
  <c r="R23"/>
  <c r="Q23"/>
  <c r="P23"/>
  <c r="O23"/>
  <c r="N23"/>
  <c r="M23"/>
  <c r="L23"/>
  <c r="K23"/>
  <c r="J23"/>
  <c r="I23"/>
  <c r="H23"/>
  <c r="G23"/>
  <c r="F23"/>
  <c r="E23"/>
  <c r="D23"/>
  <c r="R22"/>
  <c r="D22"/>
  <c r="R21"/>
  <c r="B21"/>
  <c r="C20"/>
  <c r="B20"/>
  <c r="R19"/>
  <c r="Q19"/>
  <c r="P19"/>
  <c r="O19"/>
  <c r="N19"/>
  <c r="M19"/>
  <c r="L19"/>
  <c r="K19"/>
  <c r="J19"/>
  <c r="I19"/>
  <c r="H19"/>
  <c r="G19"/>
  <c r="F19"/>
  <c r="E19"/>
  <c r="D19"/>
  <c r="C19"/>
  <c r="B19"/>
  <c r="B13"/>
  <c r="L12"/>
  <c r="E11"/>
  <c r="K10"/>
  <c r="E10"/>
  <c r="E9"/>
  <c r="J8"/>
  <c r="J7"/>
  <c r="B27" i="1"/>
  <c r="R25"/>
  <c r="Q25"/>
  <c r="P25"/>
  <c r="O25"/>
  <c r="N25"/>
  <c r="M25"/>
  <c r="L25"/>
  <c r="K25"/>
  <c r="J25"/>
  <c r="I25"/>
  <c r="H25"/>
  <c r="G25"/>
  <c r="F25"/>
  <c r="E25"/>
  <c r="D25"/>
  <c r="C25"/>
  <c r="B25"/>
  <c r="R24"/>
  <c r="Q24"/>
  <c r="P24"/>
  <c r="O24"/>
  <c r="N24"/>
  <c r="M24"/>
  <c r="L24"/>
  <c r="K24"/>
  <c r="J24"/>
  <c r="I24"/>
  <c r="H24"/>
  <c r="G24"/>
  <c r="F24"/>
  <c r="E24"/>
  <c r="D24"/>
  <c r="C24"/>
  <c r="B24"/>
  <c r="K22"/>
  <c r="J22"/>
  <c r="I22"/>
  <c r="H22"/>
  <c r="G22"/>
  <c r="F22"/>
  <c r="E22"/>
  <c r="D22"/>
  <c r="R21"/>
  <c r="Q21"/>
  <c r="P21"/>
  <c r="O21"/>
  <c r="N21"/>
  <c r="M21"/>
  <c r="L21"/>
  <c r="K21"/>
  <c r="J21"/>
  <c r="I21"/>
  <c r="H21"/>
  <c r="G21"/>
  <c r="F21"/>
  <c r="E21"/>
  <c r="D21"/>
  <c r="R20"/>
  <c r="D20"/>
  <c r="R19"/>
  <c r="B19"/>
  <c r="C18"/>
  <c r="B18"/>
  <c r="R17"/>
  <c r="Q17"/>
  <c r="P17"/>
  <c r="O17"/>
  <c r="N17"/>
  <c r="M17"/>
  <c r="L17"/>
  <c r="K17"/>
  <c r="J17"/>
  <c r="I17"/>
  <c r="H17"/>
  <c r="G17"/>
  <c r="F17"/>
  <c r="E17"/>
  <c r="D17"/>
  <c r="C17"/>
  <c r="B17"/>
  <c r="B13"/>
  <c r="L12"/>
  <c r="E11"/>
  <c r="K10"/>
  <c r="E10"/>
  <c r="E9"/>
  <c r="J8"/>
  <c r="J7"/>
  <c r="A7"/>
</calcChain>
</file>

<file path=xl/sharedStrings.xml><?xml version="1.0" encoding="utf-8"?>
<sst xmlns="http://schemas.openxmlformats.org/spreadsheetml/2006/main" count="196" uniqueCount="75">
  <si>
    <t>3. This analysis is not to be stuck in a drawer, once the project is adopted.</t>
    <phoneticPr fontId="3" type="noConversion"/>
  </si>
  <si>
    <t xml:space="preserve">    You don't want to penalize managers for bad states of nature -- instead we need to contextualize results.</t>
    <phoneticPr fontId="3" type="noConversion"/>
  </si>
  <si>
    <t xml:space="preserve">    It should serve as an assessment tool -- for evaluating the engineers' accuracy, as well as cost control.</t>
    <phoneticPr fontId="3" type="noConversion"/>
  </si>
  <si>
    <t>This is a relatvely small plant, so its capacity is limited.  Here we consider operating the new plant at maximum capacity over its lifetime.</t>
    <phoneticPr fontId="3" type="noConversion"/>
  </si>
  <si>
    <t>We can change the beta in Cell F7, and evaluate the project's expected NPV.  This will give us a sense of whether beta is a key value driver for the project.</t>
    <phoneticPr fontId="3" type="noConversion"/>
  </si>
  <si>
    <t>Base Case - beta = 1.4</t>
    <phoneticPr fontId="3" type="noConversion"/>
  </si>
  <si>
    <t>NPV</t>
    <phoneticPr fontId="3" type="noConversion"/>
  </si>
  <si>
    <t xml:space="preserve">   Too high: beta = 1:</t>
    <phoneticPr fontId="3" type="noConversion"/>
  </si>
  <si>
    <t xml:space="preserve">   Too low: beta = 1.8:</t>
    <phoneticPr fontId="3" type="noConversion"/>
  </si>
  <si>
    <t xml:space="preserve">2. There are informational and strategic implications of projects like this that are often ignored.  </t>
    <phoneticPr fontId="3" type="noConversion"/>
  </si>
  <si>
    <t>Examples:</t>
    <phoneticPr fontId="3" type="noConversion"/>
  </si>
  <si>
    <t>1. Technological advances -- This depends on the vintage of ITT Corp's other manufacturing facilities.</t>
    <phoneticPr fontId="3" type="noConversion"/>
  </si>
  <si>
    <t xml:space="preserve">    If the latest plant is fairly old, then ITT could learn a lot about modern production practices as a byproduct from building a new plant.</t>
    <phoneticPr fontId="3" type="noConversion"/>
  </si>
  <si>
    <t>-- This figure adjusts for the reduced costs from laying-off 4 workers (of $90,000 per worker).</t>
  </si>
  <si>
    <t xml:space="preserve">    Furthermore, there are questions as to whether even with the new project, ITT could still buy some volutes from the suppliers to enhance flexibility.</t>
    <phoneticPr fontId="3" type="noConversion"/>
  </si>
  <si>
    <t xml:space="preserve">   This is ``worst case'' for this project, since we eliminate the flexibility that we currently enjoy with the current arrangement wherein we buy the volutes from a supplier.</t>
    <phoneticPr fontId="3" type="noConversion"/>
  </si>
  <si>
    <t xml:space="preserve">  This is because we are locked-in to fixed costs, which can't be avoided.</t>
    <phoneticPr fontId="3" type="noConversion"/>
  </si>
  <si>
    <t xml:space="preserve">An advantage of the current situation is that our supplier bears the risk of large drops in demand.  </t>
    <phoneticPr fontId="3" type="noConversion"/>
  </si>
  <si>
    <t>-- This includes the</t>
    <phoneticPr fontId="3" type="noConversion"/>
  </si>
  <si>
    <t>``stress cost''</t>
    <phoneticPr fontId="3" type="noConversion"/>
  </si>
  <si>
    <t>Discussion:</t>
    <phoneticPr fontId="3" type="noConversion"/>
  </si>
  <si>
    <t>1. Management can put probability weights on the various scenarios to consider the risk that the project entails.</t>
    <phoneticPr fontId="3" type="noConversion"/>
  </si>
  <si>
    <t xml:space="preserve">  Of course, the expected value of the project is its NPV in the base case.</t>
    <phoneticPr fontId="3" type="noConversion"/>
  </si>
  <si>
    <t>An assumption in this case is that the number of volutes that we need each year is predictable.  We will do sensitivity analysis to consider the effect of variations from the expected sales volume.</t>
    <phoneticPr fontId="3" type="noConversion"/>
  </si>
  <si>
    <t xml:space="preserve">  Because the project maintains the main focus of ITT Corp.'s business, it is appropriate to use the firm's weighted-average cost of capital to evaluate it.</t>
    <phoneticPr fontId="3" type="noConversion"/>
  </si>
  <si>
    <t>Beta is a key value driver for this project.  Management might use this result to dedicate more resources to more accurately assessing its beta.</t>
    <phoneticPr fontId="3" type="noConversion"/>
  </si>
  <si>
    <t>On the other hand, even if beta is as high as 1.8--which seems unlikely* -- this project still has a positive NPV.</t>
    <phoneticPr fontId="3" type="noConversion"/>
  </si>
  <si>
    <t>* -- The value-weighted average beta across all companies is 1.  (Since the market beta is 1)</t>
    <phoneticPr fontId="3" type="noConversion"/>
  </si>
  <si>
    <t xml:space="preserve">       ITT Corp is closely related to the overall economy.  However, demand for its pumps depends on oil prices, and it has reasonably high leverage.</t>
    <phoneticPr fontId="3" type="noConversion"/>
  </si>
  <si>
    <t xml:space="preserve">       Again, knowledge of best and most modern practices in making volutes can enhance ITT's negotiating strength with suppliers.</t>
    <phoneticPr fontId="3" type="noConversion"/>
  </si>
  <si>
    <t>This is a traditional capital budgeting problem.  Currently ITT Corp buys the volutes that it uses in manufacturing its pumps from a supplier.  This case is a make vs. buy decision.</t>
    <phoneticPr fontId="3" type="noConversion"/>
  </si>
  <si>
    <t>-- if mfgd.</t>
    <phoneticPr fontId="3" type="noConversion"/>
  </si>
  <si>
    <t>Worst case is probably overstating things, but here we consider a drop in pump sales, that would cause us to operate the project below capacity for a few years, and then lay it up, until it obsolesces.</t>
    <phoneticPr fontId="3" type="noConversion"/>
  </si>
  <si>
    <t>units</t>
    <phoneticPr fontId="3" type="noConversion"/>
  </si>
  <si>
    <t>current cost</t>
    <phoneticPr fontId="3" type="noConversion"/>
  </si>
  <si>
    <t>alternative cost</t>
    <phoneticPr fontId="3" type="noConversion"/>
  </si>
  <si>
    <t>Annual savings:</t>
    <phoneticPr fontId="3" type="noConversion"/>
  </si>
  <si>
    <t>WACC:</t>
    <phoneticPr fontId="3" type="noConversion"/>
  </si>
  <si>
    <t xml:space="preserve">    Equity:</t>
    <phoneticPr fontId="3" type="noConversion"/>
  </si>
  <si>
    <t>rf:</t>
    <phoneticPr fontId="3" type="noConversion"/>
  </si>
  <si>
    <t>beta:</t>
    <phoneticPr fontId="3" type="noConversion"/>
  </si>
  <si>
    <t>E(Rm):</t>
    <phoneticPr fontId="3" type="noConversion"/>
  </si>
  <si>
    <t>ke:</t>
    <phoneticPr fontId="3" type="noConversion"/>
  </si>
  <si>
    <t>Debt:</t>
    <phoneticPr fontId="3" type="noConversion"/>
  </si>
  <si>
    <t>ytm:</t>
    <phoneticPr fontId="3" type="noConversion"/>
  </si>
  <si>
    <t xml:space="preserve"> tax rate:</t>
    <phoneticPr fontId="3" type="noConversion"/>
  </si>
  <si>
    <t>AT kd:</t>
    <phoneticPr fontId="3" type="noConversion"/>
  </si>
  <si>
    <t>we:</t>
    <phoneticPr fontId="3" type="noConversion"/>
  </si>
  <si>
    <t>wd:</t>
    <phoneticPr fontId="3" type="noConversion"/>
  </si>
  <si>
    <t>WACC:</t>
    <phoneticPr fontId="3" type="noConversion"/>
  </si>
  <si>
    <t>Investment:</t>
    <phoneticPr fontId="3" type="noConversion"/>
  </si>
  <si>
    <t>Year:</t>
    <phoneticPr fontId="3" type="noConversion"/>
  </si>
  <si>
    <t>Land:</t>
    <phoneticPr fontId="3" type="noConversion"/>
  </si>
  <si>
    <t xml:space="preserve"> acres</t>
    <phoneticPr fontId="3" type="noConversion"/>
  </si>
  <si>
    <t xml:space="preserve"> value per acre</t>
    <phoneticPr fontId="3" type="noConversion"/>
  </si>
  <si>
    <t>Project invstmnt req:</t>
    <phoneticPr fontId="3" type="noConversion"/>
  </si>
  <si>
    <t>disct factor:</t>
    <phoneticPr fontId="3" type="noConversion"/>
  </si>
  <si>
    <t>MACRS:</t>
    <phoneticPr fontId="3" type="noConversion"/>
  </si>
  <si>
    <t xml:space="preserve">  Deprec Exp:</t>
    <phoneticPr fontId="3" type="noConversion"/>
  </si>
  <si>
    <t>A-T Oper Inc:</t>
    <phoneticPr fontId="3" type="noConversion"/>
  </si>
  <si>
    <t>Depr Tax Svgs:</t>
    <phoneticPr fontId="3" type="noConversion"/>
  </si>
  <si>
    <t>Inventory:</t>
    <phoneticPr fontId="3" type="noConversion"/>
  </si>
  <si>
    <t>Value of each volute:</t>
    <phoneticPr fontId="3" type="noConversion"/>
  </si>
  <si>
    <t>Finished Goods Inventory:</t>
    <phoneticPr fontId="3" type="noConversion"/>
  </si>
  <si>
    <t xml:space="preserve"> units</t>
    <phoneticPr fontId="3" type="noConversion"/>
  </si>
  <si>
    <t>$ Finished Good Inventory:</t>
    <phoneticPr fontId="3" type="noConversion"/>
  </si>
  <si>
    <t>$ Materials Inventory:</t>
    <phoneticPr fontId="3" type="noConversion"/>
  </si>
  <si>
    <t>Total Cash Flow:</t>
    <phoneticPr fontId="3" type="noConversion"/>
  </si>
  <si>
    <t>PV(Cash Flows):</t>
    <phoneticPr fontId="3" type="noConversion"/>
  </si>
  <si>
    <t>NPV:</t>
    <phoneticPr fontId="3" type="noConversion"/>
  </si>
  <si>
    <t>So the plant would have a negative present value -- destroying 19 million dollars of corporate value if demand for our pumps should drop.</t>
    <phoneticPr fontId="3" type="noConversion"/>
  </si>
  <si>
    <t>In the best case, the project's NPV is $18.5 million.</t>
    <phoneticPr fontId="3" type="noConversion"/>
  </si>
  <si>
    <r>
      <t xml:space="preserve">    In my experience a good example of such an effect is the </t>
    </r>
    <r>
      <rPr>
        <b/>
        <sz val="10"/>
        <rFont val="Verdana"/>
      </rPr>
      <t>Cartersville 2000</t>
    </r>
    <r>
      <rPr>
        <sz val="10"/>
        <rFont val="Verdana"/>
      </rPr>
      <t xml:space="preserve"> project at Anheuser-Busch, in the late 1990s.</t>
    </r>
    <phoneticPr fontId="3" type="noConversion"/>
  </si>
  <si>
    <t>2. Strategic considerations in negotiating with suppliers.</t>
    <phoneticPr fontId="3" type="noConversion"/>
  </si>
  <si>
    <t xml:space="preserve">    Simply by mentioning to its supplier(s) that ITT is considering moving to internal production, it might be able to achieve more favorable terms from the suppliers.</t>
    <phoneticPr fontId="3" type="noConversion"/>
  </si>
</sst>
</file>

<file path=xl/styles.xml><?xml version="1.0" encoding="utf-8"?>
<styleSheet xmlns="http://schemas.openxmlformats.org/spreadsheetml/2006/main">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font>
      <sz val="10"/>
      <name val="Verdana"/>
    </font>
    <font>
      <b/>
      <sz val="10"/>
      <name val="Verdana"/>
    </font>
    <font>
      <b/>
      <sz val="10"/>
      <name val="Verdana"/>
    </font>
    <font>
      <sz val="8"/>
      <name val="Verdana"/>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3" fontId="0" fillId="0" borderId="0" xfId="0" applyNumberFormat="1"/>
    <xf numFmtId="0" fontId="2" fillId="0" borderId="0" xfId="0" applyFont="1"/>
    <xf numFmtId="3" fontId="2" fillId="0" borderId="0" xfId="0" applyNumberFormat="1" applyFont="1"/>
    <xf numFmtId="0" fontId="0" fillId="0" borderId="0" xfId="0" quotePrefix="1"/>
    <xf numFmtId="3" fontId="0" fillId="0" borderId="0" xfId="0" quotePrefix="1" applyNumberFormat="1"/>
    <xf numFmtId="3"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4" Type="http://schemas.openxmlformats.org/officeDocument/2006/relationships/worksheet" Target="worksheets/sheet4.xml"/><Relationship Id="rId5" Type="http://schemas.openxmlformats.org/officeDocument/2006/relationships/theme" Target="theme/theme1.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T29"/>
  <sheetViews>
    <sheetView workbookViewId="0">
      <selection activeCell="G33" sqref="G33"/>
    </sheetView>
  </sheetViews>
  <sheetFormatPr baseColWidth="10" defaultColWidth="10.85546875" defaultRowHeight="13"/>
  <cols>
    <col min="1" max="1" width="12.7109375" customWidth="1"/>
    <col min="2" max="2" width="11.85546875" customWidth="1"/>
  </cols>
  <sheetData>
    <row r="1" spans="1:20">
      <c r="A1" t="s">
        <v>30</v>
      </c>
    </row>
    <row r="2" spans="1:20">
      <c r="A2" t="s">
        <v>24</v>
      </c>
    </row>
    <row r="6" spans="1:20">
      <c r="A6" s="1">
        <v>3500</v>
      </c>
      <c r="B6" t="s">
        <v>33</v>
      </c>
      <c r="D6" t="s">
        <v>37</v>
      </c>
      <c r="E6" t="s">
        <v>39</v>
      </c>
      <c r="F6">
        <v>3.7999999999999999E-2</v>
      </c>
      <c r="L6" t="s">
        <v>57</v>
      </c>
      <c r="M6">
        <v>1</v>
      </c>
      <c r="N6">
        <v>2</v>
      </c>
      <c r="O6">
        <v>3</v>
      </c>
      <c r="P6">
        <v>4</v>
      </c>
      <c r="Q6">
        <v>5</v>
      </c>
      <c r="R6">
        <v>6</v>
      </c>
      <c r="S6">
        <v>7</v>
      </c>
      <c r="T6">
        <v>8</v>
      </c>
    </row>
    <row r="7" spans="1:20">
      <c r="A7" s="1">
        <v>7500</v>
      </c>
      <c r="B7" t="s">
        <v>34</v>
      </c>
      <c r="D7" t="s">
        <v>38</v>
      </c>
      <c r="E7" t="s">
        <v>40</v>
      </c>
      <c r="F7">
        <v>1.4</v>
      </c>
      <c r="G7" t="s">
        <v>41</v>
      </c>
      <c r="H7">
        <v>0.09</v>
      </c>
      <c r="I7" t="s">
        <v>42</v>
      </c>
      <c r="J7">
        <f>F6+F7*(H7-F6)</f>
        <v>0.11079999999999998</v>
      </c>
      <c r="L7" t="s">
        <v>58</v>
      </c>
      <c r="M7">
        <v>0.1429</v>
      </c>
      <c r="N7">
        <v>0.24490000000000001</v>
      </c>
      <c r="O7">
        <v>0.1749</v>
      </c>
      <c r="P7">
        <v>0.1249</v>
      </c>
      <c r="Q7">
        <v>8.9300000000000004E-2</v>
      </c>
      <c r="R7">
        <v>8.9200000000000002E-2</v>
      </c>
      <c r="S7">
        <v>8.9300000000000004E-2</v>
      </c>
      <c r="T7">
        <v>4.4600000000000001E-2</v>
      </c>
    </row>
    <row r="8" spans="1:20">
      <c r="A8" s="1">
        <v>3800</v>
      </c>
      <c r="B8" t="s">
        <v>35</v>
      </c>
      <c r="D8" t="s">
        <v>43</v>
      </c>
      <c r="E8" t="s">
        <v>44</v>
      </c>
      <c r="F8">
        <v>6.3E-2</v>
      </c>
      <c r="G8" t="s">
        <v>45</v>
      </c>
      <c r="H8">
        <v>0.23</v>
      </c>
      <c r="I8" t="s">
        <v>46</v>
      </c>
      <c r="J8">
        <f>(1-H8)*(F6+0.5*(F8-F6))</f>
        <v>3.8885000000000003E-2</v>
      </c>
    </row>
    <row r="9" spans="1:20">
      <c r="B9" s="4" t="s">
        <v>31</v>
      </c>
      <c r="D9" t="s">
        <v>47</v>
      </c>
      <c r="E9">
        <f>0.65</f>
        <v>0.65</v>
      </c>
    </row>
    <row r="10" spans="1:20">
      <c r="D10" t="s">
        <v>48</v>
      </c>
      <c r="E10">
        <f>1-E9</f>
        <v>0.35</v>
      </c>
      <c r="I10" t="s">
        <v>62</v>
      </c>
      <c r="K10" s="1">
        <f>A8</f>
        <v>3800</v>
      </c>
    </row>
    <row r="11" spans="1:20">
      <c r="D11" t="s">
        <v>37</v>
      </c>
      <c r="E11" s="2">
        <f>E9*J7+E10*J8</f>
        <v>8.5629749999999991E-2</v>
      </c>
      <c r="I11" t="s">
        <v>63</v>
      </c>
      <c r="K11">
        <v>100</v>
      </c>
      <c r="L11" t="s">
        <v>64</v>
      </c>
    </row>
    <row r="12" spans="1:20">
      <c r="A12" t="s">
        <v>36</v>
      </c>
      <c r="D12" t="s">
        <v>52</v>
      </c>
      <c r="E12">
        <v>5</v>
      </c>
      <c r="F12" t="s">
        <v>53</v>
      </c>
      <c r="G12" s="1">
        <v>30000</v>
      </c>
      <c r="H12" t="s">
        <v>54</v>
      </c>
      <c r="J12" t="s">
        <v>65</v>
      </c>
      <c r="L12" s="1">
        <f>K10*K11</f>
        <v>380000</v>
      </c>
    </row>
    <row r="13" spans="1:20">
      <c r="B13" s="1">
        <f>A6*(A7-A8)</f>
        <v>12950000</v>
      </c>
      <c r="D13" t="s">
        <v>55</v>
      </c>
      <c r="F13" s="1">
        <v>80000000</v>
      </c>
      <c r="J13" t="s">
        <v>66</v>
      </c>
      <c r="L13" s="1">
        <v>750000</v>
      </c>
    </row>
    <row r="14" spans="1:20">
      <c r="B14" s="1"/>
    </row>
    <row r="15" spans="1:20">
      <c r="A15" t="s">
        <v>23</v>
      </c>
      <c r="B15" s="1"/>
    </row>
    <row r="16" spans="1:20">
      <c r="B16" s="1"/>
    </row>
    <row r="17" spans="1:19">
      <c r="B17" s="1"/>
    </row>
    <row r="18" spans="1:19">
      <c r="A18" t="s">
        <v>51</v>
      </c>
      <c r="B18">
        <v>0</v>
      </c>
      <c r="C18">
        <v>1</v>
      </c>
      <c r="D18">
        <v>2</v>
      </c>
      <c r="E18">
        <v>3</v>
      </c>
      <c r="F18">
        <v>4</v>
      </c>
      <c r="G18">
        <v>5</v>
      </c>
      <c r="H18">
        <v>6</v>
      </c>
      <c r="I18">
        <v>7</v>
      </c>
      <c r="J18">
        <v>8</v>
      </c>
      <c r="K18">
        <v>9</v>
      </c>
      <c r="L18">
        <v>10</v>
      </c>
      <c r="M18">
        <v>11</v>
      </c>
      <c r="N18">
        <v>12</v>
      </c>
      <c r="O18">
        <v>13</v>
      </c>
      <c r="P18">
        <v>14</v>
      </c>
      <c r="Q18">
        <v>15</v>
      </c>
      <c r="R18">
        <v>16</v>
      </c>
    </row>
    <row r="19" spans="1:19">
      <c r="A19" t="s">
        <v>56</v>
      </c>
      <c r="B19">
        <f>1/(1+$E$11)^B18</f>
        <v>1</v>
      </c>
      <c r="C19">
        <f t="shared" ref="C19:R19" si="0">1/(1+$E$11)^C18</f>
        <v>0.9211243520178034</v>
      </c>
      <c r="D19">
        <f t="shared" si="0"/>
        <v>0.84847007188021828</v>
      </c>
      <c r="E19">
        <f t="shared" si="0"/>
        <v>0.78154644516716509</v>
      </c>
      <c r="F19">
        <f t="shared" si="0"/>
        <v>0.71990146287642276</v>
      </c>
      <c r="G19">
        <f t="shared" si="0"/>
        <v>0.66311876850871365</v>
      </c>
      <c r="H19">
        <f t="shared" si="0"/>
        <v>0.61081484595343261</v>
      </c>
      <c r="I19">
        <f t="shared" si="0"/>
        <v>0.56263642918171008</v>
      </c>
      <c r="J19">
        <f t="shared" si="0"/>
        <v>0.51825811625161344</v>
      </c>
      <c r="K19">
        <f t="shared" si="0"/>
        <v>0.47738017151023487</v>
      </c>
      <c r="L19">
        <f t="shared" si="0"/>
        <v>0.43972650114851292</v>
      </c>
      <c r="M19">
        <f t="shared" si="0"/>
        <v>0.40504278843547992</v>
      </c>
      <c r="N19">
        <f t="shared" si="0"/>
        <v>0.37309477603711561</v>
      </c>
      <c r="O19">
        <f t="shared" si="0"/>
        <v>0.34366668381841564</v>
      </c>
      <c r="P19">
        <f t="shared" si="0"/>
        <v>0.31655975144234544</v>
      </c>
      <c r="Q19">
        <f t="shared" si="0"/>
        <v>0.29159089592224735</v>
      </c>
      <c r="R19">
        <f t="shared" si="0"/>
        <v>0.26859147506067083</v>
      </c>
    </row>
    <row r="20" spans="1:19">
      <c r="A20" t="s">
        <v>50</v>
      </c>
      <c r="B20" s="1">
        <f>-0.5*F13</f>
        <v>-40000000</v>
      </c>
      <c r="C20" s="1">
        <f>-0.5*F13</f>
        <v>-40000000</v>
      </c>
    </row>
    <row r="21" spans="1:19">
      <c r="A21" s="1" t="s">
        <v>52</v>
      </c>
      <c r="B21" s="1">
        <f>-E12*G12</f>
        <v>-150000</v>
      </c>
      <c r="C21" s="1"/>
      <c r="D21" s="1"/>
      <c r="E21" s="1"/>
      <c r="F21" s="1"/>
      <c r="G21" s="1"/>
      <c r="H21" s="1"/>
      <c r="I21" s="1"/>
      <c r="J21" s="1"/>
      <c r="K21" s="1"/>
      <c r="L21" s="1"/>
      <c r="M21" s="1"/>
      <c r="N21" s="1"/>
      <c r="O21" s="1"/>
      <c r="P21" s="1"/>
      <c r="Q21" s="1"/>
      <c r="R21" s="1">
        <f>-B21</f>
        <v>150000</v>
      </c>
      <c r="S21" s="1"/>
    </row>
    <row r="22" spans="1:19">
      <c r="A22" s="1" t="s">
        <v>61</v>
      </c>
      <c r="D22" s="1">
        <f>-L12-L13</f>
        <v>-1130000</v>
      </c>
      <c r="E22" s="1"/>
      <c r="F22" s="1"/>
      <c r="G22" s="1"/>
      <c r="H22" s="1"/>
      <c r="I22" s="1"/>
      <c r="J22" s="1"/>
      <c r="K22" s="1"/>
      <c r="L22" s="1"/>
      <c r="M22" s="1"/>
      <c r="N22" s="1"/>
      <c r="O22" s="1"/>
      <c r="P22" s="1"/>
      <c r="Q22" s="1"/>
      <c r="R22" s="1">
        <f>-D22</f>
        <v>1130000</v>
      </c>
      <c r="S22" s="1"/>
    </row>
    <row r="23" spans="1:19">
      <c r="A23" t="s">
        <v>59</v>
      </c>
      <c r="D23" s="1">
        <f>$B$13*(1-$H$8)</f>
        <v>9971500</v>
      </c>
      <c r="E23" s="1">
        <f t="shared" ref="E23:R23" si="1">$B$13*(1-$H$8)</f>
        <v>9971500</v>
      </c>
      <c r="F23" s="1">
        <f t="shared" si="1"/>
        <v>9971500</v>
      </c>
      <c r="G23" s="1">
        <f t="shared" si="1"/>
        <v>9971500</v>
      </c>
      <c r="H23" s="1">
        <f t="shared" si="1"/>
        <v>9971500</v>
      </c>
      <c r="I23" s="1">
        <f t="shared" si="1"/>
        <v>9971500</v>
      </c>
      <c r="J23" s="1">
        <f t="shared" si="1"/>
        <v>9971500</v>
      </c>
      <c r="K23" s="1">
        <f t="shared" si="1"/>
        <v>9971500</v>
      </c>
      <c r="L23" s="1">
        <f t="shared" si="1"/>
        <v>9971500</v>
      </c>
      <c r="M23" s="1">
        <f t="shared" si="1"/>
        <v>9971500</v>
      </c>
      <c r="N23" s="1">
        <f t="shared" si="1"/>
        <v>9971500</v>
      </c>
      <c r="O23" s="1">
        <f t="shared" si="1"/>
        <v>9971500</v>
      </c>
      <c r="P23" s="1">
        <f t="shared" si="1"/>
        <v>9971500</v>
      </c>
      <c r="Q23" s="1">
        <f t="shared" si="1"/>
        <v>9971500</v>
      </c>
      <c r="R23" s="1">
        <f t="shared" si="1"/>
        <v>9971500</v>
      </c>
    </row>
    <row r="24" spans="1:19">
      <c r="A24" t="s">
        <v>60</v>
      </c>
      <c r="D24" s="1">
        <f>M7*$F$13*$H$8</f>
        <v>2629360</v>
      </c>
      <c r="E24" s="1">
        <f t="shared" ref="E24:K24" si="2">N7*$F$13*$H$8</f>
        <v>4506160</v>
      </c>
      <c r="F24" s="1">
        <f t="shared" si="2"/>
        <v>3218160</v>
      </c>
      <c r="G24" s="1">
        <f t="shared" si="2"/>
        <v>2298160</v>
      </c>
      <c r="H24" s="1">
        <f t="shared" si="2"/>
        <v>1643120</v>
      </c>
      <c r="I24" s="1">
        <f>R7*$F$13*$H$8</f>
        <v>1641280</v>
      </c>
      <c r="J24" s="1">
        <f t="shared" si="2"/>
        <v>1643120</v>
      </c>
      <c r="K24" s="1">
        <f t="shared" si="2"/>
        <v>820640</v>
      </c>
      <c r="L24" s="1"/>
      <c r="M24" s="1"/>
      <c r="N24" s="1"/>
      <c r="O24" s="1"/>
      <c r="P24" s="1"/>
      <c r="Q24" s="1"/>
      <c r="R24" s="1"/>
    </row>
    <row r="25" spans="1:19">
      <c r="R25" s="1"/>
    </row>
    <row r="26" spans="1:19">
      <c r="A26" t="s">
        <v>67</v>
      </c>
      <c r="B26" s="1">
        <f>SUM(B20:B24)</f>
        <v>-40150000</v>
      </c>
      <c r="C26" s="1">
        <f t="shared" ref="C26:R26" si="3">SUM(C20:C24)</f>
        <v>-40000000</v>
      </c>
      <c r="D26" s="1">
        <f t="shared" si="3"/>
        <v>11470860</v>
      </c>
      <c r="E26" s="1">
        <f t="shared" si="3"/>
        <v>14477660</v>
      </c>
      <c r="F26" s="1">
        <f t="shared" si="3"/>
        <v>13189660</v>
      </c>
      <c r="G26" s="1">
        <f t="shared" si="3"/>
        <v>12269660</v>
      </c>
      <c r="H26" s="1">
        <f t="shared" si="3"/>
        <v>11614620</v>
      </c>
      <c r="I26" s="1">
        <f t="shared" si="3"/>
        <v>11612780</v>
      </c>
      <c r="J26" s="1">
        <f t="shared" si="3"/>
        <v>11614620</v>
      </c>
      <c r="K26" s="1">
        <f t="shared" si="3"/>
        <v>10792140</v>
      </c>
      <c r="L26" s="1">
        <f t="shared" si="3"/>
        <v>9971500</v>
      </c>
      <c r="M26" s="1">
        <f t="shared" si="3"/>
        <v>9971500</v>
      </c>
      <c r="N26" s="1">
        <f t="shared" si="3"/>
        <v>9971500</v>
      </c>
      <c r="O26" s="1">
        <f t="shared" si="3"/>
        <v>9971500</v>
      </c>
      <c r="P26" s="1">
        <f t="shared" si="3"/>
        <v>9971500</v>
      </c>
      <c r="Q26" s="1">
        <f t="shared" si="3"/>
        <v>9971500</v>
      </c>
      <c r="R26" s="1">
        <f t="shared" si="3"/>
        <v>11251500</v>
      </c>
    </row>
    <row r="27" spans="1:19">
      <c r="A27" t="s">
        <v>68</v>
      </c>
      <c r="B27" s="1">
        <f>B19*B26</f>
        <v>-40150000</v>
      </c>
      <c r="C27" s="1">
        <f t="shared" ref="C27:R27" si="4">C19*C26</f>
        <v>-36844974.08071214</v>
      </c>
      <c r="D27" s="1">
        <f t="shared" si="4"/>
        <v>9732681.4087279215</v>
      </c>
      <c r="E27" s="1">
        <f t="shared" si="4"/>
        <v>11314963.70733886</v>
      </c>
      <c r="F27" s="1">
        <f t="shared" si="4"/>
        <v>9495255.5288426373</v>
      </c>
      <c r="G27" s="1">
        <f t="shared" si="4"/>
        <v>8136241.8292206237</v>
      </c>
      <c r="H27" s="1">
        <f t="shared" si="4"/>
        <v>7094382.3261076575</v>
      </c>
      <c r="I27" s="1">
        <f t="shared" si="4"/>
        <v>6533773.0720727788</v>
      </c>
      <c r="J27" s="1">
        <f t="shared" si="4"/>
        <v>6019371.0821783142</v>
      </c>
      <c r="K27" s="1">
        <f t="shared" si="4"/>
        <v>5151953.6441624658</v>
      </c>
      <c r="L27" s="1">
        <f t="shared" si="4"/>
        <v>4384732.8062023968</v>
      </c>
      <c r="M27" s="1">
        <f t="shared" si="4"/>
        <v>4038884.164884388</v>
      </c>
      <c r="N27" s="1">
        <f t="shared" si="4"/>
        <v>3720314.5592540982</v>
      </c>
      <c r="O27" s="1">
        <f t="shared" si="4"/>
        <v>3426872.3376953318</v>
      </c>
      <c r="P27" s="1">
        <f t="shared" si="4"/>
        <v>3156575.5615073475</v>
      </c>
      <c r="Q27" s="1">
        <f t="shared" si="4"/>
        <v>2907598.6186886895</v>
      </c>
      <c r="R27" s="1">
        <f t="shared" si="4"/>
        <v>3022056.981645138</v>
      </c>
    </row>
    <row r="29" spans="1:19">
      <c r="A29" t="s">
        <v>69</v>
      </c>
      <c r="B29" s="3">
        <f>SUM(B27:R27)</f>
        <v>11140683.5478165</v>
      </c>
    </row>
  </sheetData>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T31"/>
  <sheetViews>
    <sheetView tabSelected="1" workbookViewId="0">
      <selection activeCell="B15" sqref="B15"/>
    </sheetView>
  </sheetViews>
  <sheetFormatPr baseColWidth="10" defaultColWidth="10.85546875" defaultRowHeight="13"/>
  <cols>
    <col min="1" max="1" width="12.7109375" customWidth="1"/>
    <col min="2" max="2" width="11.85546875" bestFit="1" customWidth="1"/>
  </cols>
  <sheetData>
    <row r="1" spans="1:20">
      <c r="A1" t="s">
        <v>32</v>
      </c>
    </row>
    <row r="2" spans="1:20">
      <c r="A2" t="s">
        <v>15</v>
      </c>
    </row>
    <row r="6" spans="1:20">
      <c r="A6" s="1">
        <v>2100</v>
      </c>
      <c r="B6" t="s">
        <v>33</v>
      </c>
      <c r="D6" t="s">
        <v>37</v>
      </c>
      <c r="E6" t="s">
        <v>39</v>
      </c>
      <c r="F6">
        <v>3.7999999999999999E-2</v>
      </c>
      <c r="L6" t="s">
        <v>57</v>
      </c>
      <c r="M6">
        <v>1</v>
      </c>
      <c r="N6">
        <v>2</v>
      </c>
      <c r="O6">
        <v>3</v>
      </c>
      <c r="P6">
        <v>4</v>
      </c>
      <c r="Q6">
        <v>5</v>
      </c>
      <c r="R6">
        <v>6</v>
      </c>
      <c r="S6">
        <v>7</v>
      </c>
      <c r="T6">
        <v>8</v>
      </c>
    </row>
    <row r="7" spans="1:20">
      <c r="A7" s="1">
        <f>7500</f>
        <v>7500</v>
      </c>
      <c r="B7" t="s">
        <v>34</v>
      </c>
      <c r="D7" t="s">
        <v>38</v>
      </c>
      <c r="E7" t="s">
        <v>40</v>
      </c>
      <c r="F7">
        <v>1.4</v>
      </c>
      <c r="G7" t="s">
        <v>41</v>
      </c>
      <c r="H7">
        <v>0.09</v>
      </c>
      <c r="I7" t="s">
        <v>42</v>
      </c>
      <c r="J7">
        <f>F6+F7*(H7-F6)</f>
        <v>0.11079999999999998</v>
      </c>
      <c r="L7" t="s">
        <v>58</v>
      </c>
      <c r="M7">
        <v>0.1429</v>
      </c>
      <c r="N7">
        <v>0.24490000000000001</v>
      </c>
      <c r="O7">
        <v>0.1749</v>
      </c>
      <c r="P7">
        <v>0.1249</v>
      </c>
      <c r="Q7">
        <v>8.9300000000000004E-2</v>
      </c>
      <c r="R7">
        <v>8.9200000000000002E-2</v>
      </c>
      <c r="S7">
        <v>8.9300000000000004E-2</v>
      </c>
      <c r="T7">
        <v>4.4600000000000001E-2</v>
      </c>
    </row>
    <row r="8" spans="1:20">
      <c r="A8" s="1">
        <v>3800</v>
      </c>
      <c r="B8" t="s">
        <v>35</v>
      </c>
      <c r="D8" t="s">
        <v>43</v>
      </c>
      <c r="E8" t="s">
        <v>44</v>
      </c>
      <c r="F8">
        <v>6.3E-2</v>
      </c>
      <c r="G8" t="s">
        <v>45</v>
      </c>
      <c r="H8">
        <v>0.23</v>
      </c>
      <c r="I8" t="s">
        <v>46</v>
      </c>
      <c r="J8">
        <f>(1-H8)*(F6+0.5*(F8-F6))</f>
        <v>3.8885000000000003E-2</v>
      </c>
    </row>
    <row r="9" spans="1:20">
      <c r="B9" s="4" t="s">
        <v>31</v>
      </c>
      <c r="D9" t="s">
        <v>47</v>
      </c>
      <c r="E9">
        <f>0.65</f>
        <v>0.65</v>
      </c>
    </row>
    <row r="10" spans="1:20">
      <c r="D10" t="s">
        <v>48</v>
      </c>
      <c r="E10">
        <f>1-E9</f>
        <v>0.35</v>
      </c>
      <c r="I10" t="s">
        <v>62</v>
      </c>
      <c r="K10" s="1">
        <f>A8</f>
        <v>3800</v>
      </c>
    </row>
    <row r="11" spans="1:20">
      <c r="D11" t="s">
        <v>49</v>
      </c>
      <c r="E11" s="2">
        <f>E9*J7+E10*J8</f>
        <v>8.5629749999999991E-2</v>
      </c>
      <c r="I11" t="s">
        <v>63</v>
      </c>
      <c r="K11">
        <v>100</v>
      </c>
      <c r="L11" t="s">
        <v>64</v>
      </c>
    </row>
    <row r="12" spans="1:20">
      <c r="A12" t="s">
        <v>36</v>
      </c>
      <c r="D12" t="s">
        <v>52</v>
      </c>
      <c r="E12">
        <v>5</v>
      </c>
      <c r="F12" t="s">
        <v>53</v>
      </c>
      <c r="G12" s="1">
        <v>30000</v>
      </c>
      <c r="H12" t="s">
        <v>54</v>
      </c>
      <c r="J12" t="s">
        <v>65</v>
      </c>
      <c r="L12" s="1">
        <f>K10*K11</f>
        <v>380000</v>
      </c>
    </row>
    <row r="13" spans="1:20">
      <c r="B13" s="1">
        <f>A6*(A7-A8)+4*90000</f>
        <v>8130000</v>
      </c>
      <c r="D13" t="s">
        <v>55</v>
      </c>
      <c r="F13" s="1">
        <v>80000000</v>
      </c>
      <c r="J13" t="s">
        <v>66</v>
      </c>
      <c r="L13" s="1">
        <v>750000</v>
      </c>
    </row>
    <row r="14" spans="1:20">
      <c r="B14" s="5" t="s">
        <v>13</v>
      </c>
    </row>
    <row r="15" spans="1:20">
      <c r="B15" s="1"/>
    </row>
    <row r="16" spans="1:20">
      <c r="A16" t="s">
        <v>51</v>
      </c>
      <c r="B16">
        <v>0</v>
      </c>
      <c r="C16">
        <v>1</v>
      </c>
      <c r="D16">
        <v>2</v>
      </c>
      <c r="E16">
        <v>3</v>
      </c>
      <c r="F16">
        <v>4</v>
      </c>
      <c r="G16">
        <v>5</v>
      </c>
      <c r="H16">
        <v>6</v>
      </c>
      <c r="I16">
        <v>7</v>
      </c>
      <c r="J16">
        <v>8</v>
      </c>
      <c r="K16">
        <v>9</v>
      </c>
      <c r="L16">
        <v>10</v>
      </c>
      <c r="M16">
        <v>11</v>
      </c>
      <c r="N16">
        <v>12</v>
      </c>
      <c r="O16">
        <v>13</v>
      </c>
      <c r="P16">
        <v>14</v>
      </c>
      <c r="Q16">
        <v>15</v>
      </c>
      <c r="R16">
        <v>16</v>
      </c>
    </row>
    <row r="17" spans="1:19">
      <c r="A17" t="s">
        <v>56</v>
      </c>
      <c r="B17">
        <f>1/(1+$E$11)^B16</f>
        <v>1</v>
      </c>
      <c r="C17">
        <f t="shared" ref="C17:R17" si="0">1/(1+$E$11)^C16</f>
        <v>0.9211243520178034</v>
      </c>
      <c r="D17">
        <f t="shared" si="0"/>
        <v>0.84847007188021828</v>
      </c>
      <c r="E17">
        <f t="shared" si="0"/>
        <v>0.78154644516716509</v>
      </c>
      <c r="F17">
        <f t="shared" si="0"/>
        <v>0.71990146287642276</v>
      </c>
      <c r="G17">
        <f t="shared" si="0"/>
        <v>0.66311876850871365</v>
      </c>
      <c r="H17">
        <f t="shared" si="0"/>
        <v>0.61081484595343261</v>
      </c>
      <c r="I17">
        <f t="shared" si="0"/>
        <v>0.56263642918171008</v>
      </c>
      <c r="J17">
        <f t="shared" si="0"/>
        <v>0.51825811625161344</v>
      </c>
      <c r="K17">
        <f t="shared" si="0"/>
        <v>0.47738017151023487</v>
      </c>
      <c r="L17">
        <f t="shared" si="0"/>
        <v>0.43972650114851292</v>
      </c>
      <c r="M17">
        <f t="shared" si="0"/>
        <v>0.40504278843547992</v>
      </c>
      <c r="N17">
        <f t="shared" si="0"/>
        <v>0.37309477603711561</v>
      </c>
      <c r="O17">
        <f t="shared" si="0"/>
        <v>0.34366668381841564</v>
      </c>
      <c r="P17">
        <f t="shared" si="0"/>
        <v>0.31655975144234544</v>
      </c>
      <c r="Q17">
        <f t="shared" si="0"/>
        <v>0.29159089592224735</v>
      </c>
      <c r="R17">
        <f t="shared" si="0"/>
        <v>0.26859147506067083</v>
      </c>
    </row>
    <row r="18" spans="1:19">
      <c r="A18" t="s">
        <v>50</v>
      </c>
      <c r="B18" s="1">
        <f>-0.5*F13</f>
        <v>-40000000</v>
      </c>
      <c r="C18" s="1">
        <f>-0.5*F13</f>
        <v>-40000000</v>
      </c>
    </row>
    <row r="19" spans="1:19">
      <c r="A19" s="1" t="s">
        <v>52</v>
      </c>
      <c r="B19" s="1">
        <f>-E12*G12</f>
        <v>-150000</v>
      </c>
      <c r="C19" s="1"/>
      <c r="D19" s="1"/>
      <c r="E19" s="1"/>
      <c r="F19" s="1"/>
      <c r="G19" s="1"/>
      <c r="H19" s="1"/>
      <c r="I19" s="1"/>
      <c r="J19" s="1"/>
      <c r="K19" s="1"/>
      <c r="L19" s="1"/>
      <c r="M19" s="1"/>
      <c r="N19" s="1"/>
      <c r="O19" s="1"/>
      <c r="P19" s="1"/>
      <c r="Q19" s="1"/>
      <c r="R19" s="1">
        <f>-B19</f>
        <v>150000</v>
      </c>
      <c r="S19" s="1"/>
    </row>
    <row r="20" spans="1:19">
      <c r="A20" s="1" t="s">
        <v>61</v>
      </c>
      <c r="D20" s="1">
        <f>-L12-L13</f>
        <v>-1130000</v>
      </c>
      <c r="E20" s="1"/>
      <c r="F20" s="1"/>
      <c r="G20" s="1"/>
      <c r="H20" s="1"/>
      <c r="I20" s="1"/>
      <c r="J20" s="1"/>
      <c r="K20" s="1"/>
      <c r="L20" s="1"/>
      <c r="M20" s="1"/>
      <c r="N20" s="1"/>
      <c r="O20" s="1"/>
      <c r="P20" s="1"/>
      <c r="Q20" s="1"/>
      <c r="R20" s="1">
        <f>-D20</f>
        <v>1130000</v>
      </c>
      <c r="S20" s="1"/>
    </row>
    <row r="21" spans="1:19">
      <c r="A21" t="s">
        <v>59</v>
      </c>
      <c r="D21" s="1">
        <f>$B$13*(1-$H$8)</f>
        <v>6260100</v>
      </c>
      <c r="E21" s="1">
        <f t="shared" ref="E21:R21" si="1">$B$13*(1-$H$8)</f>
        <v>6260100</v>
      </c>
      <c r="F21" s="1">
        <f t="shared" si="1"/>
        <v>6260100</v>
      </c>
      <c r="G21" s="1">
        <f t="shared" si="1"/>
        <v>6260100</v>
      </c>
      <c r="H21" s="1">
        <f t="shared" si="1"/>
        <v>6260100</v>
      </c>
      <c r="I21" s="1">
        <f t="shared" si="1"/>
        <v>6260100</v>
      </c>
      <c r="J21" s="1">
        <f t="shared" si="1"/>
        <v>6260100</v>
      </c>
      <c r="K21" s="1">
        <f t="shared" si="1"/>
        <v>6260100</v>
      </c>
      <c r="L21" s="1">
        <f t="shared" si="1"/>
        <v>6260100</v>
      </c>
      <c r="M21" s="1">
        <f t="shared" si="1"/>
        <v>6260100</v>
      </c>
      <c r="N21" s="1">
        <f t="shared" si="1"/>
        <v>6260100</v>
      </c>
      <c r="O21" s="1">
        <f t="shared" si="1"/>
        <v>6260100</v>
      </c>
      <c r="P21" s="1">
        <f t="shared" si="1"/>
        <v>6260100</v>
      </c>
      <c r="Q21" s="1">
        <f t="shared" si="1"/>
        <v>6260100</v>
      </c>
      <c r="R21" s="1">
        <f t="shared" si="1"/>
        <v>6260100</v>
      </c>
    </row>
    <row r="22" spans="1:19">
      <c r="A22" t="s">
        <v>60</v>
      </c>
      <c r="D22" s="1">
        <f>M7*$F$13*$H$8</f>
        <v>2629360</v>
      </c>
      <c r="E22" s="1">
        <f t="shared" ref="E22:K22" si="2">N7*$F$13*$H$8</f>
        <v>4506160</v>
      </c>
      <c r="F22" s="1">
        <f t="shared" si="2"/>
        <v>3218160</v>
      </c>
      <c r="G22" s="1">
        <f t="shared" si="2"/>
        <v>2298160</v>
      </c>
      <c r="H22" s="1">
        <f t="shared" si="2"/>
        <v>1643120</v>
      </c>
      <c r="I22" s="1">
        <f>R7*$F$13*$H$8</f>
        <v>1641280</v>
      </c>
      <c r="J22" s="1">
        <f t="shared" si="2"/>
        <v>1643120</v>
      </c>
      <c r="K22" s="1">
        <f t="shared" si="2"/>
        <v>820640</v>
      </c>
      <c r="L22" s="1"/>
      <c r="M22" s="1"/>
      <c r="N22" s="1"/>
      <c r="O22" s="1"/>
      <c r="P22" s="1"/>
      <c r="Q22" s="1"/>
      <c r="R22" s="1"/>
    </row>
    <row r="23" spans="1:19">
      <c r="R23" s="1"/>
    </row>
    <row r="24" spans="1:19">
      <c r="A24" t="s">
        <v>67</v>
      </c>
      <c r="B24" s="1">
        <f>SUM(B18:B22)</f>
        <v>-40150000</v>
      </c>
      <c r="C24" s="1">
        <f t="shared" ref="C24:R24" si="3">SUM(C18:C22)</f>
        <v>-40000000</v>
      </c>
      <c r="D24" s="1">
        <f t="shared" si="3"/>
        <v>7759460</v>
      </c>
      <c r="E24" s="1">
        <f t="shared" si="3"/>
        <v>10766260</v>
      </c>
      <c r="F24" s="1">
        <f t="shared" si="3"/>
        <v>9478260</v>
      </c>
      <c r="G24" s="1">
        <f t="shared" si="3"/>
        <v>8558260</v>
      </c>
      <c r="H24" s="1">
        <f t="shared" si="3"/>
        <v>7903220</v>
      </c>
      <c r="I24" s="1">
        <f t="shared" si="3"/>
        <v>7901380</v>
      </c>
      <c r="J24" s="1">
        <f t="shared" si="3"/>
        <v>7903220</v>
      </c>
      <c r="K24" s="1">
        <f t="shared" si="3"/>
        <v>7080740</v>
      </c>
      <c r="L24" s="1">
        <f t="shared" si="3"/>
        <v>6260100</v>
      </c>
      <c r="M24" s="1">
        <f t="shared" si="3"/>
        <v>6260100</v>
      </c>
      <c r="N24" s="1">
        <f t="shared" si="3"/>
        <v>6260100</v>
      </c>
      <c r="O24" s="1">
        <f t="shared" si="3"/>
        <v>6260100</v>
      </c>
      <c r="P24" s="1">
        <f t="shared" si="3"/>
        <v>6260100</v>
      </c>
      <c r="Q24" s="1">
        <f t="shared" si="3"/>
        <v>6260100</v>
      </c>
      <c r="R24" s="1">
        <f t="shared" si="3"/>
        <v>7540100</v>
      </c>
    </row>
    <row r="25" spans="1:19">
      <c r="A25" t="s">
        <v>68</v>
      </c>
      <c r="B25" s="1">
        <f>B17*B24</f>
        <v>-40150000</v>
      </c>
      <c r="C25" s="1">
        <f t="shared" ref="C25:R25" si="4">C17*C24</f>
        <v>-36844974.08071214</v>
      </c>
      <c r="D25" s="1">
        <f t="shared" si="4"/>
        <v>6583669.5839516781</v>
      </c>
      <c r="E25" s="1">
        <f t="shared" si="4"/>
        <v>8414332.2307454422</v>
      </c>
      <c r="F25" s="1">
        <f t="shared" si="4"/>
        <v>6823413.239523083</v>
      </c>
      <c r="G25" s="1">
        <f t="shared" si="4"/>
        <v>5675142.8317773836</v>
      </c>
      <c r="H25" s="1">
        <f t="shared" si="4"/>
        <v>4827404.106836088</v>
      </c>
      <c r="I25" s="1">
        <f t="shared" si="4"/>
        <v>4445604.2288077809</v>
      </c>
      <c r="J25" s="1">
        <f t="shared" si="4"/>
        <v>4095907.9095220766</v>
      </c>
      <c r="K25" s="1">
        <f t="shared" si="4"/>
        <v>3380204.8756193803</v>
      </c>
      <c r="L25" s="1">
        <f t="shared" si="4"/>
        <v>2752731.8698398056</v>
      </c>
      <c r="M25" s="1">
        <f t="shared" si="4"/>
        <v>2535608.359884948</v>
      </c>
      <c r="N25" s="1">
        <f t="shared" si="4"/>
        <v>2335610.6074699475</v>
      </c>
      <c r="O25" s="1">
        <f t="shared" si="4"/>
        <v>2151387.8073716639</v>
      </c>
      <c r="P25" s="1">
        <f t="shared" si="4"/>
        <v>1981695.7000042268</v>
      </c>
      <c r="Q25" s="1">
        <f t="shared" si="4"/>
        <v>1825388.1675628605</v>
      </c>
      <c r="R25" s="1">
        <f t="shared" si="4"/>
        <v>2025206.581104964</v>
      </c>
    </row>
    <row r="27" spans="1:19">
      <c r="A27" t="s">
        <v>69</v>
      </c>
      <c r="B27" s="3">
        <f>SUM(B25:R25)</f>
        <v>-17141665.980690796</v>
      </c>
    </row>
    <row r="29" spans="1:19">
      <c r="B29" t="s">
        <v>70</v>
      </c>
    </row>
    <row r="30" spans="1:19">
      <c r="B30" t="s">
        <v>16</v>
      </c>
    </row>
    <row r="31" spans="1:19">
      <c r="B31" t="s">
        <v>17</v>
      </c>
    </row>
  </sheetData>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T49"/>
  <sheetViews>
    <sheetView workbookViewId="0">
      <selection activeCell="A30" sqref="A30"/>
    </sheetView>
  </sheetViews>
  <sheetFormatPr baseColWidth="10" defaultColWidth="10.85546875" defaultRowHeight="13"/>
  <cols>
    <col min="1" max="1" width="12.7109375" customWidth="1"/>
    <col min="2" max="2" width="14" customWidth="1"/>
  </cols>
  <sheetData>
    <row r="1" spans="1:20">
      <c r="A1" t="s">
        <v>3</v>
      </c>
    </row>
    <row r="3" spans="1:20">
      <c r="A3" s="1">
        <v>4000</v>
      </c>
      <c r="B3" t="s">
        <v>33</v>
      </c>
      <c r="D3" t="s">
        <v>37</v>
      </c>
      <c r="E3" t="s">
        <v>39</v>
      </c>
      <c r="F3">
        <v>3.7999999999999999E-2</v>
      </c>
      <c r="L3" t="s">
        <v>57</v>
      </c>
      <c r="M3">
        <v>1</v>
      </c>
      <c r="N3">
        <v>2</v>
      </c>
      <c r="O3">
        <v>3</v>
      </c>
      <c r="P3">
        <v>4</v>
      </c>
      <c r="Q3">
        <v>5</v>
      </c>
      <c r="R3">
        <v>6</v>
      </c>
      <c r="S3">
        <v>7</v>
      </c>
      <c r="T3">
        <v>8</v>
      </c>
    </row>
    <row r="4" spans="1:20">
      <c r="A4" s="1">
        <v>7500</v>
      </c>
      <c r="B4" t="s">
        <v>34</v>
      </c>
      <c r="D4" t="s">
        <v>38</v>
      </c>
      <c r="E4" t="s">
        <v>40</v>
      </c>
      <c r="F4">
        <v>1.4</v>
      </c>
      <c r="G4" t="s">
        <v>41</v>
      </c>
      <c r="H4">
        <v>0.09</v>
      </c>
      <c r="I4" t="s">
        <v>42</v>
      </c>
      <c r="J4">
        <f>F3+F4*(H4-F3)</f>
        <v>0.11079999999999998</v>
      </c>
      <c r="L4" t="s">
        <v>58</v>
      </c>
      <c r="M4">
        <v>0.1429</v>
      </c>
      <c r="N4">
        <v>0.24490000000000001</v>
      </c>
      <c r="O4">
        <v>0.1749</v>
      </c>
      <c r="P4">
        <v>0.1249</v>
      </c>
      <c r="Q4">
        <v>8.9300000000000004E-2</v>
      </c>
      <c r="R4">
        <v>8.9200000000000002E-2</v>
      </c>
      <c r="S4">
        <v>8.9300000000000004E-2</v>
      </c>
      <c r="T4">
        <v>4.4600000000000001E-2</v>
      </c>
    </row>
    <row r="5" spans="1:20">
      <c r="A5" s="1">
        <f>3800+150</f>
        <v>3950</v>
      </c>
      <c r="B5" t="s">
        <v>35</v>
      </c>
      <c r="D5" t="s">
        <v>43</v>
      </c>
      <c r="E5" t="s">
        <v>44</v>
      </c>
      <c r="F5">
        <v>6.3E-2</v>
      </c>
      <c r="G5" t="s">
        <v>45</v>
      </c>
      <c r="H5">
        <v>0.23</v>
      </c>
      <c r="I5" t="s">
        <v>46</v>
      </c>
      <c r="J5">
        <f>(1-H5)*(F3+0.5*(F5-F3))</f>
        <v>3.8885000000000003E-2</v>
      </c>
    </row>
    <row r="6" spans="1:20">
      <c r="B6" s="4" t="s">
        <v>31</v>
      </c>
      <c r="D6" t="s">
        <v>47</v>
      </c>
      <c r="E6">
        <f>0.65</f>
        <v>0.65</v>
      </c>
    </row>
    <row r="7" spans="1:20">
      <c r="B7" s="4" t="s">
        <v>18</v>
      </c>
      <c r="D7" t="s">
        <v>48</v>
      </c>
      <c r="E7">
        <f>1-E6</f>
        <v>0.35</v>
      </c>
      <c r="I7" t="s">
        <v>62</v>
      </c>
      <c r="K7" s="1">
        <f>A5</f>
        <v>3950</v>
      </c>
    </row>
    <row r="8" spans="1:20">
      <c r="B8" t="s">
        <v>19</v>
      </c>
      <c r="D8" t="s">
        <v>37</v>
      </c>
      <c r="E8" s="2">
        <f>E6*J4+E7*J5</f>
        <v>8.5629749999999991E-2</v>
      </c>
      <c r="I8" t="s">
        <v>63</v>
      </c>
      <c r="K8">
        <v>100</v>
      </c>
      <c r="L8" t="s">
        <v>64</v>
      </c>
    </row>
    <row r="9" spans="1:20">
      <c r="D9" t="s">
        <v>52</v>
      </c>
      <c r="E9">
        <v>5</v>
      </c>
      <c r="F9" t="s">
        <v>53</v>
      </c>
      <c r="G9" s="1">
        <v>30000</v>
      </c>
      <c r="H9" t="s">
        <v>54</v>
      </c>
      <c r="J9" t="s">
        <v>65</v>
      </c>
      <c r="L9" s="1">
        <f>K7*K8</f>
        <v>395000</v>
      </c>
    </row>
    <row r="10" spans="1:20">
      <c r="A10" t="s">
        <v>36</v>
      </c>
      <c r="B10" s="1">
        <f>A3*(A4-A5)</f>
        <v>14200000</v>
      </c>
      <c r="D10" t="s">
        <v>55</v>
      </c>
      <c r="F10" s="1">
        <v>80000000</v>
      </c>
      <c r="J10" t="s">
        <v>66</v>
      </c>
      <c r="L10" s="1">
        <v>750000</v>
      </c>
    </row>
    <row r="11" spans="1:20">
      <c r="B11" s="1"/>
    </row>
    <row r="12" spans="1:20">
      <c r="A12" t="s">
        <v>23</v>
      </c>
      <c r="B12" s="1"/>
    </row>
    <row r="13" spans="1:20">
      <c r="B13" s="1"/>
    </row>
    <row r="14" spans="1:20">
      <c r="B14" s="1"/>
    </row>
    <row r="15" spans="1:20">
      <c r="A15" t="s">
        <v>51</v>
      </c>
      <c r="B15">
        <v>0</v>
      </c>
      <c r="C15">
        <v>1</v>
      </c>
      <c r="D15">
        <v>2</v>
      </c>
      <c r="E15">
        <v>3</v>
      </c>
      <c r="F15">
        <v>4</v>
      </c>
      <c r="G15">
        <v>5</v>
      </c>
      <c r="H15">
        <v>6</v>
      </c>
      <c r="I15">
        <v>7</v>
      </c>
      <c r="J15">
        <v>8</v>
      </c>
      <c r="K15">
        <v>9</v>
      </c>
      <c r="L15">
        <v>10</v>
      </c>
      <c r="M15">
        <v>11</v>
      </c>
      <c r="N15">
        <v>12</v>
      </c>
      <c r="O15">
        <v>13</v>
      </c>
      <c r="P15">
        <v>14</v>
      </c>
      <c r="Q15">
        <v>15</v>
      </c>
      <c r="R15">
        <v>16</v>
      </c>
    </row>
    <row r="16" spans="1:20">
      <c r="A16" t="s">
        <v>56</v>
      </c>
      <c r="B16">
        <f>1/(1+$E$8)^B15</f>
        <v>1</v>
      </c>
      <c r="C16">
        <f t="shared" ref="C16:R16" si="0">1/(1+$E$8)^C15</f>
        <v>0.9211243520178034</v>
      </c>
      <c r="D16">
        <f t="shared" si="0"/>
        <v>0.84847007188021828</v>
      </c>
      <c r="E16">
        <f t="shared" si="0"/>
        <v>0.78154644516716509</v>
      </c>
      <c r="F16">
        <f t="shared" si="0"/>
        <v>0.71990146287642276</v>
      </c>
      <c r="G16">
        <f t="shared" si="0"/>
        <v>0.66311876850871365</v>
      </c>
      <c r="H16">
        <f t="shared" si="0"/>
        <v>0.61081484595343261</v>
      </c>
      <c r="I16">
        <f t="shared" si="0"/>
        <v>0.56263642918171008</v>
      </c>
      <c r="J16">
        <f t="shared" si="0"/>
        <v>0.51825811625161344</v>
      </c>
      <c r="K16">
        <f t="shared" si="0"/>
        <v>0.47738017151023487</v>
      </c>
      <c r="L16">
        <f t="shared" si="0"/>
        <v>0.43972650114851292</v>
      </c>
      <c r="M16">
        <f t="shared" si="0"/>
        <v>0.40504278843547992</v>
      </c>
      <c r="N16">
        <f t="shared" si="0"/>
        <v>0.37309477603711561</v>
      </c>
      <c r="O16">
        <f t="shared" si="0"/>
        <v>0.34366668381841564</v>
      </c>
      <c r="P16">
        <f t="shared" si="0"/>
        <v>0.31655975144234544</v>
      </c>
      <c r="Q16">
        <f t="shared" si="0"/>
        <v>0.29159089592224735</v>
      </c>
      <c r="R16">
        <f t="shared" si="0"/>
        <v>0.26859147506067083</v>
      </c>
    </row>
    <row r="17" spans="1:19">
      <c r="A17" t="s">
        <v>50</v>
      </c>
      <c r="B17" s="1">
        <f>-0.5*F10</f>
        <v>-40000000</v>
      </c>
      <c r="C17" s="1">
        <f>-0.5*F10</f>
        <v>-40000000</v>
      </c>
    </row>
    <row r="18" spans="1:19">
      <c r="A18" s="1" t="s">
        <v>52</v>
      </c>
      <c r="B18" s="1">
        <f>-E9*G9</f>
        <v>-150000</v>
      </c>
      <c r="C18" s="1"/>
      <c r="D18" s="1"/>
      <c r="E18" s="1"/>
      <c r="F18" s="1"/>
      <c r="G18" s="1"/>
      <c r="H18" s="1"/>
      <c r="I18" s="1"/>
      <c r="J18" s="1"/>
      <c r="K18" s="1"/>
      <c r="L18" s="1"/>
      <c r="M18" s="1"/>
      <c r="N18" s="1"/>
      <c r="O18" s="1"/>
      <c r="P18" s="1"/>
      <c r="Q18" s="1"/>
      <c r="R18" s="1">
        <f>-B18</f>
        <v>150000</v>
      </c>
      <c r="S18" s="1"/>
    </row>
    <row r="19" spans="1:19">
      <c r="A19" s="1" t="s">
        <v>61</v>
      </c>
      <c r="D19" s="1">
        <f>-L9-L10</f>
        <v>-1145000</v>
      </c>
      <c r="E19" s="1"/>
      <c r="F19" s="1"/>
      <c r="G19" s="1"/>
      <c r="H19" s="1"/>
      <c r="I19" s="1"/>
      <c r="J19" s="1"/>
      <c r="K19" s="1"/>
      <c r="L19" s="1"/>
      <c r="M19" s="1"/>
      <c r="N19" s="1"/>
      <c r="O19" s="1"/>
      <c r="P19" s="1"/>
      <c r="Q19" s="1"/>
      <c r="R19" s="1">
        <f>-D19</f>
        <v>1145000</v>
      </c>
      <c r="S19" s="1"/>
    </row>
    <row r="20" spans="1:19">
      <c r="A20" t="s">
        <v>59</v>
      </c>
      <c r="D20" s="1">
        <f>$B$10*(1-$H$5)</f>
        <v>10934000</v>
      </c>
      <c r="E20" s="1">
        <f t="shared" ref="E20:R20" si="1">$B$10*(1-$H$5)</f>
        <v>10934000</v>
      </c>
      <c r="F20" s="1">
        <f t="shared" si="1"/>
        <v>10934000</v>
      </c>
      <c r="G20" s="1">
        <f t="shared" si="1"/>
        <v>10934000</v>
      </c>
      <c r="H20" s="1">
        <f t="shared" si="1"/>
        <v>10934000</v>
      </c>
      <c r="I20" s="1">
        <f t="shared" si="1"/>
        <v>10934000</v>
      </c>
      <c r="J20" s="1">
        <f t="shared" si="1"/>
        <v>10934000</v>
      </c>
      <c r="K20" s="1">
        <f t="shared" si="1"/>
        <v>10934000</v>
      </c>
      <c r="L20" s="1">
        <f t="shared" si="1"/>
        <v>10934000</v>
      </c>
      <c r="M20" s="1">
        <f t="shared" si="1"/>
        <v>10934000</v>
      </c>
      <c r="N20" s="1">
        <f t="shared" si="1"/>
        <v>10934000</v>
      </c>
      <c r="O20" s="1">
        <f t="shared" si="1"/>
        <v>10934000</v>
      </c>
      <c r="P20" s="1">
        <f t="shared" si="1"/>
        <v>10934000</v>
      </c>
      <c r="Q20" s="1">
        <f t="shared" si="1"/>
        <v>10934000</v>
      </c>
      <c r="R20" s="1">
        <f t="shared" si="1"/>
        <v>10934000</v>
      </c>
    </row>
    <row r="21" spans="1:19">
      <c r="A21" t="s">
        <v>60</v>
      </c>
      <c r="D21" s="1">
        <f>M4*$F$10*$H$5</f>
        <v>2629360</v>
      </c>
      <c r="E21" s="1">
        <f t="shared" ref="E21:K21" si="2">N4*$F$10*$H$5</f>
        <v>4506160</v>
      </c>
      <c r="F21" s="1">
        <f t="shared" si="2"/>
        <v>3218160</v>
      </c>
      <c r="G21" s="1">
        <f t="shared" si="2"/>
        <v>2298160</v>
      </c>
      <c r="H21" s="1">
        <f t="shared" si="2"/>
        <v>1643120</v>
      </c>
      <c r="I21" s="1">
        <f>R4*$F$10*$H$5</f>
        <v>1641280</v>
      </c>
      <c r="J21" s="1">
        <f t="shared" si="2"/>
        <v>1643120</v>
      </c>
      <c r="K21" s="1">
        <f t="shared" si="2"/>
        <v>820640</v>
      </c>
      <c r="L21" s="1"/>
      <c r="M21" s="1"/>
      <c r="N21" s="1"/>
      <c r="O21" s="1"/>
      <c r="P21" s="1"/>
      <c r="Q21" s="1"/>
      <c r="R21" s="1"/>
    </row>
    <row r="22" spans="1:19">
      <c r="R22" s="1"/>
    </row>
    <row r="23" spans="1:19">
      <c r="A23" t="s">
        <v>67</v>
      </c>
      <c r="B23" s="1">
        <f>SUM(B17:B21)</f>
        <v>-40150000</v>
      </c>
      <c r="C23" s="1">
        <f t="shared" ref="C23:R23" si="3">SUM(C17:C21)</f>
        <v>-40000000</v>
      </c>
      <c r="D23" s="1">
        <f t="shared" si="3"/>
        <v>12418360</v>
      </c>
      <c r="E23" s="1">
        <f t="shared" si="3"/>
        <v>15440160</v>
      </c>
      <c r="F23" s="1">
        <f t="shared" si="3"/>
        <v>14152160</v>
      </c>
      <c r="G23" s="1">
        <f t="shared" si="3"/>
        <v>13232160</v>
      </c>
      <c r="H23" s="1">
        <f t="shared" si="3"/>
        <v>12577120</v>
      </c>
      <c r="I23" s="1">
        <f t="shared" si="3"/>
        <v>12575280</v>
      </c>
      <c r="J23" s="1">
        <f t="shared" si="3"/>
        <v>12577120</v>
      </c>
      <c r="K23" s="1">
        <f t="shared" si="3"/>
        <v>11754640</v>
      </c>
      <c r="L23" s="1">
        <f t="shared" si="3"/>
        <v>10934000</v>
      </c>
      <c r="M23" s="1">
        <f t="shared" si="3"/>
        <v>10934000</v>
      </c>
      <c r="N23" s="1">
        <f t="shared" si="3"/>
        <v>10934000</v>
      </c>
      <c r="O23" s="1">
        <f t="shared" si="3"/>
        <v>10934000</v>
      </c>
      <c r="P23" s="1">
        <f t="shared" si="3"/>
        <v>10934000</v>
      </c>
      <c r="Q23" s="1">
        <f t="shared" si="3"/>
        <v>10934000</v>
      </c>
      <c r="R23" s="1">
        <f t="shared" si="3"/>
        <v>12229000</v>
      </c>
    </row>
    <row r="24" spans="1:19">
      <c r="A24" t="s">
        <v>68</v>
      </c>
      <c r="B24" s="1">
        <f>B16*B23</f>
        <v>-40150000</v>
      </c>
      <c r="C24" s="1">
        <f t="shared" ref="C24:R24" si="4">C16*C23</f>
        <v>-36844974.08071214</v>
      </c>
      <c r="D24" s="1">
        <f t="shared" si="4"/>
        <v>10536606.801834427</v>
      </c>
      <c r="E24" s="1">
        <f t="shared" si="4"/>
        <v>12067202.160812255</v>
      </c>
      <c r="F24" s="1">
        <f t="shared" si="4"/>
        <v>10188160.686861195</v>
      </c>
      <c r="G24" s="1">
        <f t="shared" si="4"/>
        <v>8774493.6439102609</v>
      </c>
      <c r="H24" s="1">
        <f t="shared" si="4"/>
        <v>7682291.6153378366</v>
      </c>
      <c r="I24" s="1">
        <f t="shared" si="4"/>
        <v>7075310.6351601752</v>
      </c>
      <c r="J24" s="1">
        <f t="shared" si="4"/>
        <v>6518194.5190704921</v>
      </c>
      <c r="K24" s="1">
        <f t="shared" si="4"/>
        <v>5611432.0592410676</v>
      </c>
      <c r="L24" s="1">
        <f t="shared" si="4"/>
        <v>4807969.56355784</v>
      </c>
      <c r="M24" s="1">
        <f t="shared" si="4"/>
        <v>4428737.8487535371</v>
      </c>
      <c r="N24" s="1">
        <f t="shared" si="4"/>
        <v>4079418.2811898221</v>
      </c>
      <c r="O24" s="1">
        <f t="shared" si="4"/>
        <v>3757651.5208705566</v>
      </c>
      <c r="P24" s="1">
        <f t="shared" si="4"/>
        <v>3461264.3222706052</v>
      </c>
      <c r="Q24" s="1">
        <f t="shared" si="4"/>
        <v>3188254.8560138526</v>
      </c>
      <c r="R24" s="1">
        <f t="shared" si="4"/>
        <v>3284605.1485169437</v>
      </c>
    </row>
    <row r="26" spans="1:19">
      <c r="A26" t="s">
        <v>69</v>
      </c>
      <c r="B26" s="3">
        <f>SUM(B24:R24)</f>
        <v>18466619.582688719</v>
      </c>
    </row>
    <row r="29" spans="1:19">
      <c r="A29" t="s">
        <v>71</v>
      </c>
    </row>
    <row r="32" spans="1:19">
      <c r="A32" t="s">
        <v>20</v>
      </c>
    </row>
    <row r="33" spans="2:3">
      <c r="B33" t="s">
        <v>21</v>
      </c>
    </row>
    <row r="34" spans="2:3">
      <c r="B34" t="s">
        <v>22</v>
      </c>
    </row>
    <row r="36" spans="2:3">
      <c r="B36" t="s">
        <v>9</v>
      </c>
    </row>
    <row r="37" spans="2:3">
      <c r="B37" t="s">
        <v>10</v>
      </c>
    </row>
    <row r="38" spans="2:3">
      <c r="C38" t="s">
        <v>11</v>
      </c>
    </row>
    <row r="39" spans="2:3">
      <c r="C39" t="s">
        <v>12</v>
      </c>
    </row>
    <row r="40" spans="2:3">
      <c r="C40" t="s">
        <v>72</v>
      </c>
    </row>
    <row r="42" spans="2:3">
      <c r="C42" t="s">
        <v>73</v>
      </c>
    </row>
    <row r="43" spans="2:3">
      <c r="C43" t="s">
        <v>74</v>
      </c>
    </row>
    <row r="44" spans="2:3">
      <c r="C44" t="s">
        <v>14</v>
      </c>
    </row>
    <row r="45" spans="2:3">
      <c r="C45" t="s">
        <v>29</v>
      </c>
    </row>
    <row r="47" spans="2:3">
      <c r="C47" t="s">
        <v>0</v>
      </c>
    </row>
    <row r="48" spans="2:3">
      <c r="C48" t="s">
        <v>2</v>
      </c>
    </row>
    <row r="49" spans="3:3">
      <c r="C49" t="s">
        <v>1</v>
      </c>
    </row>
  </sheetData>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6:T49"/>
  <sheetViews>
    <sheetView workbookViewId="0">
      <selection activeCell="B3" sqref="B3"/>
    </sheetView>
  </sheetViews>
  <sheetFormatPr baseColWidth="10" defaultColWidth="10.85546875" defaultRowHeight="13"/>
  <sheetData>
    <row r="6" spans="1:20">
      <c r="A6" s="1">
        <v>3500</v>
      </c>
      <c r="B6" t="s">
        <v>33</v>
      </c>
      <c r="D6" t="s">
        <v>37</v>
      </c>
      <c r="E6" t="s">
        <v>39</v>
      </c>
      <c r="F6">
        <v>3.7999999999999999E-2</v>
      </c>
      <c r="L6" t="s">
        <v>57</v>
      </c>
      <c r="M6">
        <v>1</v>
      </c>
      <c r="N6">
        <v>2</v>
      </c>
      <c r="O6">
        <v>3</v>
      </c>
      <c r="P6">
        <v>4</v>
      </c>
      <c r="Q6">
        <v>5</v>
      </c>
      <c r="R6">
        <v>6</v>
      </c>
      <c r="S6">
        <v>7</v>
      </c>
      <c r="T6">
        <v>8</v>
      </c>
    </row>
    <row r="7" spans="1:20">
      <c r="A7" s="1">
        <v>7500</v>
      </c>
      <c r="B7" t="s">
        <v>34</v>
      </c>
      <c r="D7" t="s">
        <v>38</v>
      </c>
      <c r="E7" t="s">
        <v>40</v>
      </c>
      <c r="F7">
        <v>1.8</v>
      </c>
      <c r="G7" t="s">
        <v>41</v>
      </c>
      <c r="H7">
        <v>0.09</v>
      </c>
      <c r="I7" t="s">
        <v>42</v>
      </c>
      <c r="J7">
        <f>F6+F7*(H7-F6)</f>
        <v>0.13159999999999999</v>
      </c>
      <c r="L7" t="s">
        <v>58</v>
      </c>
      <c r="M7">
        <v>0.1429</v>
      </c>
      <c r="N7">
        <v>0.24490000000000001</v>
      </c>
      <c r="O7">
        <v>0.1749</v>
      </c>
      <c r="P7">
        <v>0.1249</v>
      </c>
      <c r="Q7">
        <v>8.9300000000000004E-2</v>
      </c>
      <c r="R7">
        <v>8.9200000000000002E-2</v>
      </c>
      <c r="S7">
        <v>8.9300000000000004E-2</v>
      </c>
      <c r="T7">
        <v>4.4600000000000001E-2</v>
      </c>
    </row>
    <row r="8" spans="1:20">
      <c r="A8" s="1">
        <v>3800</v>
      </c>
      <c r="B8" t="s">
        <v>35</v>
      </c>
      <c r="D8" t="s">
        <v>43</v>
      </c>
      <c r="E8" t="s">
        <v>44</v>
      </c>
      <c r="F8">
        <v>6.3E-2</v>
      </c>
      <c r="G8" t="s">
        <v>45</v>
      </c>
      <c r="H8">
        <v>0.23</v>
      </c>
      <c r="I8" t="s">
        <v>46</v>
      </c>
      <c r="J8">
        <f>(1-H8)*(F6+0.5*(F8-F6))</f>
        <v>3.8885000000000003E-2</v>
      </c>
    </row>
    <row r="9" spans="1:20">
      <c r="B9" s="4" t="s">
        <v>31</v>
      </c>
      <c r="D9" t="s">
        <v>47</v>
      </c>
      <c r="E9">
        <f>0.65</f>
        <v>0.65</v>
      </c>
    </row>
    <row r="10" spans="1:20">
      <c r="D10" t="s">
        <v>48</v>
      </c>
      <c r="E10">
        <f>1-E9</f>
        <v>0.35</v>
      </c>
      <c r="I10" t="s">
        <v>62</v>
      </c>
      <c r="K10" s="1">
        <f>A8</f>
        <v>3800</v>
      </c>
    </row>
    <row r="11" spans="1:20">
      <c r="D11" t="s">
        <v>37</v>
      </c>
      <c r="E11" s="2">
        <f>E9*J7+E10*J8</f>
        <v>9.9149750000000009E-2</v>
      </c>
      <c r="I11" t="s">
        <v>63</v>
      </c>
      <c r="K11">
        <v>100</v>
      </c>
      <c r="L11" t="s">
        <v>64</v>
      </c>
    </row>
    <row r="12" spans="1:20">
      <c r="A12" t="s">
        <v>36</v>
      </c>
      <c r="D12" t="s">
        <v>52</v>
      </c>
      <c r="E12">
        <v>5</v>
      </c>
      <c r="F12" t="s">
        <v>53</v>
      </c>
      <c r="G12" s="1">
        <v>30000</v>
      </c>
      <c r="H12" t="s">
        <v>54</v>
      </c>
      <c r="J12" t="s">
        <v>65</v>
      </c>
      <c r="L12" s="1">
        <f>K10*K11</f>
        <v>380000</v>
      </c>
    </row>
    <row r="13" spans="1:20">
      <c r="B13" s="1">
        <f>A6*(A7-A8)</f>
        <v>12950000</v>
      </c>
      <c r="D13" t="s">
        <v>55</v>
      </c>
      <c r="F13" s="1">
        <v>80000000</v>
      </c>
      <c r="J13" t="s">
        <v>66</v>
      </c>
      <c r="L13" s="1">
        <v>750000</v>
      </c>
    </row>
    <row r="14" spans="1:20">
      <c r="B14" s="1"/>
    </row>
    <row r="15" spans="1:20">
      <c r="A15" t="s">
        <v>23</v>
      </c>
      <c r="B15" s="1"/>
    </row>
    <row r="16" spans="1:20">
      <c r="B16" s="1"/>
    </row>
    <row r="17" spans="1:19">
      <c r="B17" s="1"/>
    </row>
    <row r="18" spans="1:19">
      <c r="A18" t="s">
        <v>51</v>
      </c>
      <c r="B18">
        <v>0</v>
      </c>
      <c r="C18">
        <v>1</v>
      </c>
      <c r="D18">
        <v>2</v>
      </c>
      <c r="E18">
        <v>3</v>
      </c>
      <c r="F18">
        <v>4</v>
      </c>
      <c r="G18">
        <v>5</v>
      </c>
      <c r="H18">
        <v>6</v>
      </c>
      <c r="I18">
        <v>7</v>
      </c>
      <c r="J18">
        <v>8</v>
      </c>
      <c r="K18">
        <v>9</v>
      </c>
      <c r="L18">
        <v>10</v>
      </c>
      <c r="M18">
        <v>11</v>
      </c>
      <c r="N18">
        <v>12</v>
      </c>
      <c r="O18">
        <v>13</v>
      </c>
      <c r="P18">
        <v>14</v>
      </c>
      <c r="Q18">
        <v>15</v>
      </c>
      <c r="R18">
        <v>16</v>
      </c>
    </row>
    <row r="19" spans="1:19">
      <c r="A19" t="s">
        <v>56</v>
      </c>
      <c r="B19">
        <f>1/(1+$E$11)^B18</f>
        <v>1</v>
      </c>
      <c r="C19">
        <f t="shared" ref="C19:R19" si="0">1/(1+$E$11)^C18</f>
        <v>0.9097941386057723</v>
      </c>
      <c r="D19">
        <f t="shared" si="0"/>
        <v>0.82772537464141915</v>
      </c>
      <c r="E19">
        <f t="shared" si="0"/>
        <v>0.75305969422403018</v>
      </c>
      <c r="F19">
        <f t="shared" si="0"/>
        <v>0.68512929582527771</v>
      </c>
      <c r="G19">
        <f t="shared" si="0"/>
        <v>0.62332661752893792</v>
      </c>
      <c r="H19">
        <f t="shared" si="0"/>
        <v>0.56709890306478972</v>
      </c>
      <c r="I19">
        <f t="shared" si="0"/>
        <v>0.5159432580181087</v>
      </c>
      <c r="J19">
        <f t="shared" si="0"/>
        <v>0.46940215199804092</v>
      </c>
      <c r="K19">
        <f t="shared" si="0"/>
        <v>0.42705932653675349</v>
      </c>
      <c r="L19">
        <f t="shared" si="0"/>
        <v>0.38853607212006686</v>
      </c>
      <c r="M19">
        <f t="shared" si="0"/>
        <v>0.35348784105174641</v>
      </c>
      <c r="N19">
        <f t="shared" si="0"/>
        <v>0.32160116585728776</v>
      </c>
      <c r="O19">
        <f t="shared" si="0"/>
        <v>0.29259085566574322</v>
      </c>
      <c r="P19">
        <f t="shared" si="0"/>
        <v>0.26619744549434071</v>
      </c>
      <c r="Q19">
        <f t="shared" si="0"/>
        <v>0.24218487562258073</v>
      </c>
      <c r="R19">
        <f t="shared" si="0"/>
        <v>0.22033838030039191</v>
      </c>
    </row>
    <row r="20" spans="1:19">
      <c r="A20" t="s">
        <v>50</v>
      </c>
      <c r="B20" s="1">
        <f>-0.5*F13</f>
        <v>-40000000</v>
      </c>
      <c r="C20" s="1">
        <f>-0.5*F13</f>
        <v>-40000000</v>
      </c>
    </row>
    <row r="21" spans="1:19">
      <c r="A21" s="1" t="s">
        <v>52</v>
      </c>
      <c r="B21" s="1">
        <f>-E12*G12</f>
        <v>-150000</v>
      </c>
      <c r="C21" s="1"/>
      <c r="D21" s="1"/>
      <c r="E21" s="1"/>
      <c r="F21" s="1"/>
      <c r="G21" s="1"/>
      <c r="H21" s="1"/>
      <c r="I21" s="1"/>
      <c r="J21" s="1"/>
      <c r="K21" s="1"/>
      <c r="L21" s="1"/>
      <c r="M21" s="1"/>
      <c r="N21" s="1"/>
      <c r="O21" s="1"/>
      <c r="P21" s="1"/>
      <c r="Q21" s="1"/>
      <c r="R21" s="1">
        <f>-B21</f>
        <v>150000</v>
      </c>
      <c r="S21" s="1"/>
    </row>
    <row r="22" spans="1:19">
      <c r="A22" s="1" t="s">
        <v>61</v>
      </c>
      <c r="D22" s="1">
        <f>-L12-L13</f>
        <v>-1130000</v>
      </c>
      <c r="E22" s="1"/>
      <c r="F22" s="1"/>
      <c r="G22" s="1"/>
      <c r="H22" s="1"/>
      <c r="I22" s="1"/>
      <c r="J22" s="1"/>
      <c r="K22" s="1"/>
      <c r="L22" s="1"/>
      <c r="M22" s="1"/>
      <c r="N22" s="1"/>
      <c r="O22" s="1"/>
      <c r="P22" s="1"/>
      <c r="Q22" s="1"/>
      <c r="R22" s="1">
        <f>-D22</f>
        <v>1130000</v>
      </c>
      <c r="S22" s="1"/>
    </row>
    <row r="23" spans="1:19">
      <c r="A23" t="s">
        <v>59</v>
      </c>
      <c r="D23" s="1">
        <f>$B$13*(1-$H$8)</f>
        <v>9971500</v>
      </c>
      <c r="E23" s="1">
        <f t="shared" ref="E23:R23" si="1">$B$13*(1-$H$8)</f>
        <v>9971500</v>
      </c>
      <c r="F23" s="1">
        <f t="shared" si="1"/>
        <v>9971500</v>
      </c>
      <c r="G23" s="1">
        <f t="shared" si="1"/>
        <v>9971500</v>
      </c>
      <c r="H23" s="1">
        <f t="shared" si="1"/>
        <v>9971500</v>
      </c>
      <c r="I23" s="1">
        <f t="shared" si="1"/>
        <v>9971500</v>
      </c>
      <c r="J23" s="1">
        <f t="shared" si="1"/>
        <v>9971500</v>
      </c>
      <c r="K23" s="1">
        <f t="shared" si="1"/>
        <v>9971500</v>
      </c>
      <c r="L23" s="1">
        <f t="shared" si="1"/>
        <v>9971500</v>
      </c>
      <c r="M23" s="1">
        <f t="shared" si="1"/>
        <v>9971500</v>
      </c>
      <c r="N23" s="1">
        <f t="shared" si="1"/>
        <v>9971500</v>
      </c>
      <c r="O23" s="1">
        <f t="shared" si="1"/>
        <v>9971500</v>
      </c>
      <c r="P23" s="1">
        <f t="shared" si="1"/>
        <v>9971500</v>
      </c>
      <c r="Q23" s="1">
        <f t="shared" si="1"/>
        <v>9971500</v>
      </c>
      <c r="R23" s="1">
        <f t="shared" si="1"/>
        <v>9971500</v>
      </c>
    </row>
    <row r="24" spans="1:19">
      <c r="A24" t="s">
        <v>60</v>
      </c>
      <c r="D24" s="1">
        <f>M7*$F$13*$H$8</f>
        <v>2629360</v>
      </c>
      <c r="E24" s="1">
        <f t="shared" ref="E24:K24" si="2">N7*$F$13*$H$8</f>
        <v>4506160</v>
      </c>
      <c r="F24" s="1">
        <f t="shared" si="2"/>
        <v>3218160</v>
      </c>
      <c r="G24" s="1">
        <f t="shared" si="2"/>
        <v>2298160</v>
      </c>
      <c r="H24" s="1">
        <f t="shared" si="2"/>
        <v>1643120</v>
      </c>
      <c r="I24" s="1">
        <f>R7*$F$13*$H$8</f>
        <v>1641280</v>
      </c>
      <c r="J24" s="1">
        <f t="shared" si="2"/>
        <v>1643120</v>
      </c>
      <c r="K24" s="1">
        <f t="shared" si="2"/>
        <v>820640</v>
      </c>
      <c r="L24" s="1"/>
      <c r="M24" s="1"/>
      <c r="N24" s="1"/>
      <c r="O24" s="1"/>
      <c r="P24" s="1"/>
      <c r="Q24" s="1"/>
      <c r="R24" s="1"/>
    </row>
    <row r="25" spans="1:19">
      <c r="R25" s="1"/>
    </row>
    <row r="26" spans="1:19">
      <c r="A26" t="s">
        <v>67</v>
      </c>
      <c r="B26" s="1">
        <f>SUM(B20:B24)</f>
        <v>-40150000</v>
      </c>
      <c r="C26" s="1">
        <f t="shared" ref="C26:R26" si="3">SUM(C20:C24)</f>
        <v>-40000000</v>
      </c>
      <c r="D26" s="1">
        <f t="shared" si="3"/>
        <v>11470860</v>
      </c>
      <c r="E26" s="1">
        <f t="shared" si="3"/>
        <v>14477660</v>
      </c>
      <c r="F26" s="1">
        <f t="shared" si="3"/>
        <v>13189660</v>
      </c>
      <c r="G26" s="1">
        <f t="shared" si="3"/>
        <v>12269660</v>
      </c>
      <c r="H26" s="1">
        <f t="shared" si="3"/>
        <v>11614620</v>
      </c>
      <c r="I26" s="1">
        <f t="shared" si="3"/>
        <v>11612780</v>
      </c>
      <c r="J26" s="1">
        <f t="shared" si="3"/>
        <v>11614620</v>
      </c>
      <c r="K26" s="1">
        <f t="shared" si="3"/>
        <v>10792140</v>
      </c>
      <c r="L26" s="1">
        <f t="shared" si="3"/>
        <v>9971500</v>
      </c>
      <c r="M26" s="1">
        <f t="shared" si="3"/>
        <v>9971500</v>
      </c>
      <c r="N26" s="1">
        <f t="shared" si="3"/>
        <v>9971500</v>
      </c>
      <c r="O26" s="1">
        <f t="shared" si="3"/>
        <v>9971500</v>
      </c>
      <c r="P26" s="1">
        <f t="shared" si="3"/>
        <v>9971500</v>
      </c>
      <c r="Q26" s="1">
        <f t="shared" si="3"/>
        <v>9971500</v>
      </c>
      <c r="R26" s="1">
        <f t="shared" si="3"/>
        <v>11251500</v>
      </c>
    </row>
    <row r="27" spans="1:19">
      <c r="A27" t="s">
        <v>68</v>
      </c>
      <c r="B27" s="1">
        <f>B19*B26</f>
        <v>-40150000</v>
      </c>
      <c r="C27" s="1">
        <f t="shared" ref="C27:R27" si="4">C19*C26</f>
        <v>-36391765.544230893</v>
      </c>
      <c r="D27" s="1">
        <f t="shared" si="4"/>
        <v>9494721.8909592684</v>
      </c>
      <c r="E27" s="1">
        <f t="shared" si="4"/>
        <v>10902542.212679474</v>
      </c>
      <c r="F27" s="1">
        <f t="shared" si="4"/>
        <v>9036622.4679748323</v>
      </c>
      <c r="G27" s="1">
        <f t="shared" si="4"/>
        <v>7648005.666030108</v>
      </c>
      <c r="H27" s="1">
        <f t="shared" si="4"/>
        <v>6586638.2615143675</v>
      </c>
      <c r="I27" s="1">
        <f t="shared" si="4"/>
        <v>5991535.5478475327</v>
      </c>
      <c r="J27" s="1">
        <f t="shared" si="4"/>
        <v>5451927.6226394856</v>
      </c>
      <c r="K27" s="1">
        <f t="shared" si="4"/>
        <v>4608884.0402903585</v>
      </c>
      <c r="L27" s="1">
        <f t="shared" si="4"/>
        <v>3874287.4431452467</v>
      </c>
      <c r="M27" s="1">
        <f t="shared" si="4"/>
        <v>3524804.0070474893</v>
      </c>
      <c r="N27" s="1">
        <f t="shared" si="4"/>
        <v>3206846.0253459448</v>
      </c>
      <c r="O27" s="1">
        <f t="shared" si="4"/>
        <v>2917569.7172709587</v>
      </c>
      <c r="P27" s="1">
        <f t="shared" si="4"/>
        <v>2654387.8277468183</v>
      </c>
      <c r="Q27" s="1">
        <f t="shared" si="4"/>
        <v>2414946.4872705638</v>
      </c>
      <c r="R27" s="1">
        <f t="shared" si="4"/>
        <v>2479137.2859498593</v>
      </c>
    </row>
    <row r="29" spans="1:19">
      <c r="A29" t="s">
        <v>69</v>
      </c>
      <c r="B29" s="3">
        <f>SUM(B27:R27)</f>
        <v>4251090.9594814181</v>
      </c>
    </row>
    <row r="33" spans="1:3">
      <c r="A33" t="s">
        <v>4</v>
      </c>
    </row>
    <row r="36" spans="1:3">
      <c r="C36" t="s">
        <v>6</v>
      </c>
    </row>
    <row r="37" spans="1:3">
      <c r="A37" t="s">
        <v>5</v>
      </c>
      <c r="C37" s="6">
        <v>11140684</v>
      </c>
    </row>
    <row r="39" spans="1:3">
      <c r="A39" t="s">
        <v>7</v>
      </c>
      <c r="C39" s="1">
        <v>19043734</v>
      </c>
    </row>
    <row r="41" spans="1:3">
      <c r="A41" t="s">
        <v>8</v>
      </c>
      <c r="C41" s="1">
        <v>4251091</v>
      </c>
    </row>
    <row r="44" spans="1:3">
      <c r="A44" t="s">
        <v>20</v>
      </c>
    </row>
    <row r="45" spans="1:3">
      <c r="B45" t="s">
        <v>25</v>
      </c>
    </row>
    <row r="46" spans="1:3">
      <c r="B46" t="s">
        <v>26</v>
      </c>
    </row>
    <row r="48" spans="1:3">
      <c r="B48" t="s">
        <v>27</v>
      </c>
    </row>
    <row r="49" spans="2:2">
      <c r="B49" t="s">
        <v>28</v>
      </c>
    </row>
  </sheetData>
  <phoneticPr fontId="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Base Case</vt:lpstr>
      <vt:lpstr>Worst Case</vt:lpstr>
      <vt:lpstr>Best Case</vt:lpstr>
      <vt:lpstr>Beta Assessment</vt:lpstr>
    </vt:vector>
  </TitlesOfParts>
  <Company>University of Arizona</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Lamoureux</dc:creator>
  <cp:lastModifiedBy>Chris Lamoureux</cp:lastModifiedBy>
  <dcterms:created xsi:type="dcterms:W3CDTF">2018-02-12T17:44:23Z</dcterms:created>
  <dcterms:modified xsi:type="dcterms:W3CDTF">2019-02-10T16:37:40Z</dcterms:modified>
</cp:coreProperties>
</file>