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3/510B/Class/"/>
    </mc:Choice>
  </mc:AlternateContent>
  <xr:revisionPtr revIDLastSave="0" documentId="8_{FD02462D-664A-8B4C-9F12-221F38B98DAB}" xr6:coauthVersionLast="47" xr6:coauthVersionMax="47" xr10:uidLastSave="{00000000-0000-0000-0000-000000000000}"/>
  <bookViews>
    <workbookView xWindow="0" yWindow="500" windowWidth="19200" windowHeight="6940" xr2:uid="{EBABCD07-FB0E-4811-9748-5E435BD0EDC3}"/>
  </bookViews>
  <sheets>
    <sheet name="Sheet1" sheetId="1" r:id="rId1"/>
  </sheets>
  <definedNames>
    <definedName name="solver_adj" localSheetId="0" hidden="1">Sheet1!$M$13</definedName>
    <definedName name="solver_cvg" localSheetId="0" hidden="1">0.000000000000001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Sheet1!$B$32</definedName>
    <definedName name="solver_pre" localSheetId="0" hidden="1">1E-21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29" i="1"/>
  <c r="E4" i="1"/>
  <c r="G5" i="1"/>
  <c r="G6" i="1"/>
  <c r="G8" i="1"/>
  <c r="L4" i="1"/>
  <c r="K6" i="1"/>
  <c r="K9" i="1"/>
  <c r="D10" i="1"/>
  <c r="E30" i="1"/>
  <c r="E31" i="1"/>
  <c r="D29" i="1"/>
  <c r="D30" i="1"/>
  <c r="D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T19" i="1"/>
  <c r="T18" i="1"/>
  <c r="T16" i="1"/>
  <c r="D1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F23" i="1"/>
  <c r="Q13" i="1"/>
  <c r="I22" i="1"/>
  <c r="O22" i="1"/>
  <c r="O24" i="1"/>
  <c r="O25" i="1"/>
  <c r="P22" i="1"/>
  <c r="P24" i="1"/>
  <c r="P25" i="1"/>
  <c r="P26" i="1"/>
  <c r="P27" i="1"/>
  <c r="P29" i="1"/>
  <c r="P31" i="1"/>
  <c r="H22" i="1"/>
  <c r="H24" i="1"/>
  <c r="H25" i="1"/>
  <c r="H26" i="1"/>
  <c r="H27" i="1"/>
  <c r="H29" i="1"/>
  <c r="H31" i="1"/>
  <c r="N22" i="1"/>
  <c r="N24" i="1"/>
  <c r="N25" i="1"/>
  <c r="N26" i="1"/>
  <c r="N27" i="1"/>
  <c r="N29" i="1"/>
  <c r="N31" i="1"/>
  <c r="G22" i="1"/>
  <c r="G24" i="1"/>
  <c r="G25" i="1"/>
  <c r="I24" i="1"/>
  <c r="I25" i="1"/>
  <c r="I26" i="1"/>
  <c r="I27" i="1"/>
  <c r="I29" i="1"/>
  <c r="I31" i="1"/>
  <c r="M22" i="1"/>
  <c r="M24" i="1"/>
  <c r="M25" i="1"/>
  <c r="F22" i="1"/>
  <c r="F24" i="1"/>
  <c r="F25" i="1"/>
  <c r="F26" i="1"/>
  <c r="F27" i="1"/>
  <c r="F29" i="1"/>
  <c r="F31" i="1"/>
  <c r="T22" i="1"/>
  <c r="T24" i="1"/>
  <c r="T25" i="1"/>
  <c r="L22" i="1"/>
  <c r="L24" i="1"/>
  <c r="L25" i="1"/>
  <c r="S22" i="1"/>
  <c r="S24" i="1"/>
  <c r="S25" i="1"/>
  <c r="S26" i="1"/>
  <c r="S27" i="1"/>
  <c r="S29" i="1"/>
  <c r="S31" i="1"/>
  <c r="K22" i="1"/>
  <c r="K24" i="1"/>
  <c r="K25" i="1"/>
  <c r="K26" i="1"/>
  <c r="K27" i="1"/>
  <c r="K29" i="1"/>
  <c r="K31" i="1"/>
  <c r="R22" i="1"/>
  <c r="R24" i="1"/>
  <c r="R25" i="1"/>
  <c r="R26" i="1"/>
  <c r="R27" i="1"/>
  <c r="R29" i="1"/>
  <c r="R31" i="1"/>
  <c r="J22" i="1"/>
  <c r="J24" i="1"/>
  <c r="J25" i="1"/>
  <c r="J26" i="1"/>
  <c r="J27" i="1"/>
  <c r="J29" i="1"/>
  <c r="J31" i="1"/>
  <c r="Q22" i="1"/>
  <c r="Q24" i="1"/>
  <c r="O26" i="1"/>
  <c r="O27" i="1"/>
  <c r="O29" i="1"/>
  <c r="O31" i="1"/>
  <c r="G26" i="1"/>
  <c r="G27" i="1"/>
  <c r="G29" i="1"/>
  <c r="G31" i="1"/>
  <c r="L26" i="1"/>
  <c r="L27" i="1"/>
  <c r="L29" i="1"/>
  <c r="L31" i="1"/>
  <c r="T26" i="1"/>
  <c r="T27" i="1"/>
  <c r="T29" i="1"/>
  <c r="T31" i="1"/>
  <c r="Q25" i="1"/>
  <c r="Q26" i="1"/>
  <c r="Q27" i="1"/>
  <c r="Q29" i="1"/>
  <c r="Q31" i="1"/>
  <c r="M26" i="1"/>
  <c r="M27" i="1"/>
  <c r="M29" i="1"/>
  <c r="M31" i="1"/>
  <c r="B32" i="1"/>
</calcChain>
</file>

<file path=xl/sharedStrings.xml><?xml version="1.0" encoding="utf-8"?>
<sst xmlns="http://schemas.openxmlformats.org/spreadsheetml/2006/main" count="55" uniqueCount="55">
  <si>
    <t>Step 1:</t>
  </si>
  <si>
    <t>Ascertain the company's (ITT) wacc:</t>
  </si>
  <si>
    <t>debt:</t>
  </si>
  <si>
    <t>risk-free rate:</t>
  </si>
  <si>
    <t>ytm on ITT bond:</t>
  </si>
  <si>
    <t>Credit Spread:</t>
  </si>
  <si>
    <t>1/2 of credit spread is risk premium:</t>
  </si>
  <si>
    <t>Pre-tax cost of debt:</t>
  </si>
  <si>
    <t>Tax rate:</t>
  </si>
  <si>
    <t>After-tax cost of debt:</t>
  </si>
  <si>
    <t>beta:</t>
  </si>
  <si>
    <t>E(Rm):</t>
  </si>
  <si>
    <t>Equity market risk premium:</t>
  </si>
  <si>
    <t>Under the CAPM, cost of equity: Rf + beta * (Equity market risk premium)</t>
  </si>
  <si>
    <t>cost of equity:</t>
  </si>
  <si>
    <t>wd:</t>
  </si>
  <si>
    <t>we:</t>
  </si>
  <si>
    <t>wacc:</t>
  </si>
  <si>
    <t>Time Line of Incremental Cash flows:</t>
  </si>
  <si>
    <t>Years:</t>
  </si>
  <si>
    <t>Investment Outlays:</t>
  </si>
  <si>
    <t>-- opportunity cost of land:</t>
  </si>
  <si>
    <t>depreciable base of plant:</t>
  </si>
  <si>
    <t>--  Raw Materials Inventory:</t>
  </si>
  <si>
    <t>-- All-in construction costs:</t>
  </si>
  <si>
    <t>-- Finished Goods Inventory:</t>
  </si>
  <si>
    <t>Volutes:</t>
  </si>
  <si>
    <t xml:space="preserve"> units per year</t>
  </si>
  <si>
    <t>cost of buying volutes</t>
  </si>
  <si>
    <t>mfg costs:</t>
  </si>
  <si>
    <t xml:space="preserve"> per volute implying savings of:</t>
  </si>
  <si>
    <t xml:space="preserve"> per year</t>
  </si>
  <si>
    <t>Income Statement Related Accounts:</t>
  </si>
  <si>
    <t>Increased Profit (reduced costs):</t>
  </si>
  <si>
    <t>Depreciation Expense:</t>
  </si>
  <si>
    <t>7-year MACRS:</t>
  </si>
  <si>
    <t>Impact on Net Income:</t>
  </si>
  <si>
    <t>Increased Tax Expense:</t>
  </si>
  <si>
    <t>After-tax Net Income:</t>
  </si>
  <si>
    <t>Operating Cash Flows:</t>
  </si>
  <si>
    <t>discount factor (wacc):</t>
  </si>
  <si>
    <t>Expected Net cash flows:</t>
  </si>
  <si>
    <t>PV of expected cash flows:</t>
  </si>
  <si>
    <t>NPV:</t>
  </si>
  <si>
    <t>We should think about the 2 Anheuser-Busch strategic examples anytime we consider a new production process:</t>
  </si>
  <si>
    <t>- improved bargaining position</t>
  </si>
  <si>
    <t>- reduced costs</t>
  </si>
  <si>
    <t>b) Cartersville 2000 - the information from learning about new processes and technologies can be integrated throughout the enterprise.</t>
  </si>
  <si>
    <t>a) Canning - enhanced knowledge of our suppliers' processes:</t>
  </si>
  <si>
    <t>Breakeven cost saving:</t>
  </si>
  <si>
    <t>What is the mfg cost per volute that would result in a 0 NPV, cet. par.</t>
  </si>
  <si>
    <t>Invoke Solver:</t>
  </si>
  <si>
    <t>Change the value in cell M13 to make Cell B32 = 0.</t>
  </si>
  <si>
    <t xml:space="preserve">We find that per unit mfg cost of </t>
  </si>
  <si>
    <t xml:space="preserve"> is the break-even value.  So if the mfg costs are higher than this then the project has a negative  NPV.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</si>
</sst>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3" fontId="0" fillId="0" borderId="0" xfId="1" applyNumberFormat="1" applyFont="1"/>
    <xf numFmtId="0" fontId="0" fillId="0" borderId="0" xfId="0" quotePrefix="1"/>
    <xf numFmtId="3" fontId="0" fillId="0" borderId="0" xfId="0" applyNumberFormat="1"/>
    <xf numFmtId="3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EB0E-C679-4067-809E-54589C988116}">
  <dimension ref="A1:U45"/>
  <sheetViews>
    <sheetView tabSelected="1" topLeftCell="A31" zoomScale="120" zoomScaleNormal="120" workbookViewId="0">
      <selection activeCell="F46" sqref="F46"/>
    </sheetView>
  </sheetViews>
  <sheetFormatPr baseColWidth="10" defaultColWidth="8.83203125" defaultRowHeight="15" x14ac:dyDescent="0.2"/>
  <cols>
    <col min="4" max="4" width="12.6640625" bestFit="1" customWidth="1"/>
    <col min="5" max="8" width="10.33203125" bestFit="1" customWidth="1"/>
    <col min="9" max="9" width="15.5" customWidth="1"/>
    <col min="10" max="11" width="9.6640625" bestFit="1" customWidth="1"/>
    <col min="12" max="12" width="13.1640625" bestFit="1" customWidth="1"/>
    <col min="13" max="13" width="9.6640625" bestFit="1" customWidth="1"/>
    <col min="14" max="14" width="13.83203125" customWidth="1"/>
    <col min="15" max="20" width="9.6640625" bestFit="1" customWidth="1"/>
  </cols>
  <sheetData>
    <row r="1" spans="1:21" x14ac:dyDescent="0.2">
      <c r="A1" t="s">
        <v>0</v>
      </c>
      <c r="B1" t="s">
        <v>1</v>
      </c>
      <c r="L1" t="s">
        <v>35</v>
      </c>
      <c r="N1">
        <v>0.1429</v>
      </c>
      <c r="O1">
        <v>0.24490000000000001</v>
      </c>
      <c r="P1">
        <v>0.1749</v>
      </c>
      <c r="Q1">
        <v>0.1249</v>
      </c>
      <c r="R1">
        <v>8.9300000000000004E-2</v>
      </c>
      <c r="S1">
        <v>8.9200000000000002E-2</v>
      </c>
      <c r="T1">
        <v>8.9300000000000004E-2</v>
      </c>
      <c r="U1">
        <v>4.4600000000000001E-2</v>
      </c>
    </row>
    <row r="2" spans="1:21" x14ac:dyDescent="0.2">
      <c r="B2" t="s">
        <v>2</v>
      </c>
      <c r="C2" t="s">
        <v>3</v>
      </c>
      <c r="E2">
        <v>3.7999999999999999E-2</v>
      </c>
      <c r="I2" t="s">
        <v>10</v>
      </c>
      <c r="J2">
        <v>1.4</v>
      </c>
    </row>
    <row r="3" spans="1:21" x14ac:dyDescent="0.2">
      <c r="C3" t="s">
        <v>4</v>
      </c>
      <c r="E3">
        <v>6.3E-2</v>
      </c>
      <c r="I3" t="s">
        <v>11</v>
      </c>
      <c r="J3">
        <v>0.09</v>
      </c>
    </row>
    <row r="4" spans="1:21" x14ac:dyDescent="0.2">
      <c r="C4" t="s">
        <v>5</v>
      </c>
      <c r="E4">
        <f>E3-E2</f>
        <v>2.5000000000000001E-2</v>
      </c>
      <c r="I4" t="s">
        <v>12</v>
      </c>
      <c r="L4">
        <f>J3-E2</f>
        <v>5.1999999999999998E-2</v>
      </c>
    </row>
    <row r="5" spans="1:21" x14ac:dyDescent="0.2">
      <c r="C5" t="s">
        <v>6</v>
      </c>
      <c r="G5">
        <f>0.5*E4</f>
        <v>1.2500000000000001E-2</v>
      </c>
      <c r="I5" t="s">
        <v>13</v>
      </c>
    </row>
    <row r="6" spans="1:21" x14ac:dyDescent="0.2">
      <c r="C6" t="s">
        <v>7</v>
      </c>
      <c r="G6">
        <f>E2+G5</f>
        <v>5.0500000000000003E-2</v>
      </c>
      <c r="I6" t="s">
        <v>14</v>
      </c>
      <c r="K6">
        <f>E2+J2*L4</f>
        <v>0.11079999999999998</v>
      </c>
    </row>
    <row r="7" spans="1:21" x14ac:dyDescent="0.2">
      <c r="C7" t="s">
        <v>8</v>
      </c>
      <c r="E7">
        <v>0.23</v>
      </c>
    </row>
    <row r="8" spans="1:21" x14ac:dyDescent="0.2">
      <c r="C8" t="s">
        <v>9</v>
      </c>
      <c r="G8">
        <f>(1-E7)*G6</f>
        <v>3.8885000000000003E-2</v>
      </c>
    </row>
    <row r="9" spans="1:21" x14ac:dyDescent="0.2">
      <c r="F9" t="s">
        <v>15</v>
      </c>
      <c r="G9">
        <v>0.35</v>
      </c>
      <c r="J9" t="s">
        <v>16</v>
      </c>
      <c r="K9">
        <f>1-G9</f>
        <v>0.65</v>
      </c>
    </row>
    <row r="10" spans="1:21" x14ac:dyDescent="0.2">
      <c r="C10" s="1" t="s">
        <v>17</v>
      </c>
      <c r="D10" s="1">
        <f>G8*G9+K6*K9</f>
        <v>8.5629749999999991E-2</v>
      </c>
    </row>
    <row r="12" spans="1:21" x14ac:dyDescent="0.2">
      <c r="A12" t="s">
        <v>22</v>
      </c>
      <c r="D12" s="4">
        <f>-(D17+E17)</f>
        <v>80000000</v>
      </c>
      <c r="G12" t="s">
        <v>26</v>
      </c>
      <c r="H12" s="2">
        <v>3500</v>
      </c>
      <c r="I12" t="s">
        <v>27</v>
      </c>
    </row>
    <row r="13" spans="1:21" x14ac:dyDescent="0.2">
      <c r="C13" t="s">
        <v>18</v>
      </c>
      <c r="H13" s="2">
        <v>7500</v>
      </c>
      <c r="I13" t="s">
        <v>28</v>
      </c>
      <c r="L13" t="s">
        <v>29</v>
      </c>
      <c r="M13" s="2">
        <v>4251.6414310364244</v>
      </c>
      <c r="N13" s="2" t="s">
        <v>30</v>
      </c>
      <c r="O13" s="2"/>
      <c r="Q13" s="2">
        <f>H12*(H13-M13)</f>
        <v>11369254.991372515</v>
      </c>
      <c r="R13" t="s">
        <v>31</v>
      </c>
    </row>
    <row r="14" spans="1:21" x14ac:dyDescent="0.2">
      <c r="C14" t="s">
        <v>19</v>
      </c>
      <c r="D14">
        <v>0</v>
      </c>
      <c r="E14">
        <v>1</v>
      </c>
      <c r="F14">
        <v>2</v>
      </c>
      <c r="G14">
        <v>3</v>
      </c>
      <c r="H14">
        <v>4</v>
      </c>
      <c r="I14">
        <v>5</v>
      </c>
      <c r="J14">
        <v>6</v>
      </c>
      <c r="K14">
        <v>7</v>
      </c>
      <c r="L14">
        <v>8</v>
      </c>
      <c r="M14">
        <v>9</v>
      </c>
      <c r="N14">
        <v>10</v>
      </c>
      <c r="O14">
        <v>11</v>
      </c>
      <c r="P14">
        <v>12</v>
      </c>
      <c r="Q14">
        <v>13</v>
      </c>
      <c r="R14">
        <v>14</v>
      </c>
      <c r="S14">
        <v>15</v>
      </c>
      <c r="T14">
        <v>16</v>
      </c>
    </row>
    <row r="15" spans="1:21" x14ac:dyDescent="0.2">
      <c r="A15" t="s">
        <v>20</v>
      </c>
    </row>
    <row r="16" spans="1:21" x14ac:dyDescent="0.2">
      <c r="A16" s="3" t="s">
        <v>21</v>
      </c>
      <c r="D16" s="2">
        <v>-150000</v>
      </c>
      <c r="T16" s="4">
        <f>-D16</f>
        <v>150000</v>
      </c>
    </row>
    <row r="17" spans="1:21" x14ac:dyDescent="0.2">
      <c r="A17" s="3" t="s">
        <v>24</v>
      </c>
      <c r="D17" s="2">
        <v>-40000000</v>
      </c>
      <c r="E17" s="2">
        <v>-40000000</v>
      </c>
    </row>
    <row r="18" spans="1:21" x14ac:dyDescent="0.2">
      <c r="A18" s="3" t="s">
        <v>23</v>
      </c>
      <c r="E18" s="2">
        <v>-750000</v>
      </c>
      <c r="T18" s="4">
        <f>-E18</f>
        <v>750000</v>
      </c>
    </row>
    <row r="19" spans="1:21" x14ac:dyDescent="0.2">
      <c r="A19" s="3" t="s">
        <v>25</v>
      </c>
      <c r="E19" s="2">
        <f>-3800*100</f>
        <v>-380000</v>
      </c>
      <c r="T19" s="4">
        <f>-E19</f>
        <v>380000</v>
      </c>
    </row>
    <row r="21" spans="1:21" x14ac:dyDescent="0.2">
      <c r="A21" t="s">
        <v>32</v>
      </c>
    </row>
    <row r="22" spans="1:21" x14ac:dyDescent="0.2">
      <c r="B22" t="s">
        <v>33</v>
      </c>
      <c r="F22" s="4">
        <f>$Q$13</f>
        <v>11369254.991372515</v>
      </c>
      <c r="G22" s="4">
        <f t="shared" ref="G22:T22" si="0">$Q$13</f>
        <v>11369254.991372515</v>
      </c>
      <c r="H22" s="4">
        <f t="shared" si="0"/>
        <v>11369254.991372515</v>
      </c>
      <c r="I22" s="4">
        <f t="shared" si="0"/>
        <v>11369254.991372515</v>
      </c>
      <c r="J22" s="4">
        <f t="shared" si="0"/>
        <v>11369254.991372515</v>
      </c>
      <c r="K22" s="4">
        <f t="shared" si="0"/>
        <v>11369254.991372515</v>
      </c>
      <c r="L22" s="4">
        <f t="shared" si="0"/>
        <v>11369254.991372515</v>
      </c>
      <c r="M22" s="4">
        <f t="shared" si="0"/>
        <v>11369254.991372515</v>
      </c>
      <c r="N22" s="4">
        <f t="shared" si="0"/>
        <v>11369254.991372515</v>
      </c>
      <c r="O22" s="4">
        <f t="shared" si="0"/>
        <v>11369254.991372515</v>
      </c>
      <c r="P22" s="4">
        <f t="shared" si="0"/>
        <v>11369254.991372515</v>
      </c>
      <c r="Q22" s="4">
        <f t="shared" si="0"/>
        <v>11369254.991372515</v>
      </c>
      <c r="R22" s="4">
        <f t="shared" si="0"/>
        <v>11369254.991372515</v>
      </c>
      <c r="S22" s="4">
        <f t="shared" si="0"/>
        <v>11369254.991372515</v>
      </c>
      <c r="T22" s="4">
        <f t="shared" si="0"/>
        <v>11369254.991372515</v>
      </c>
    </row>
    <row r="23" spans="1:21" x14ac:dyDescent="0.2">
      <c r="B23" t="s">
        <v>34</v>
      </c>
      <c r="F23" s="4">
        <f>-$D$12*N1</f>
        <v>-11432000</v>
      </c>
      <c r="G23" s="4">
        <f t="shared" ref="G23:T23" si="1">-$D$12*O1</f>
        <v>-19592000</v>
      </c>
      <c r="H23" s="4">
        <f t="shared" si="1"/>
        <v>-13992000</v>
      </c>
      <c r="I23" s="4">
        <f t="shared" si="1"/>
        <v>-9992000</v>
      </c>
      <c r="J23" s="4">
        <f t="shared" si="1"/>
        <v>-7144000</v>
      </c>
      <c r="K23" s="4">
        <f t="shared" si="1"/>
        <v>-7136000</v>
      </c>
      <c r="L23" s="4">
        <f t="shared" si="1"/>
        <v>-7144000</v>
      </c>
      <c r="M23" s="4">
        <f t="shared" si="1"/>
        <v>-3568000</v>
      </c>
      <c r="N23" s="4">
        <f t="shared" si="1"/>
        <v>0</v>
      </c>
      <c r="O23" s="4">
        <f t="shared" si="1"/>
        <v>0</v>
      </c>
      <c r="P23" s="4">
        <f t="shared" si="1"/>
        <v>0</v>
      </c>
      <c r="Q23" s="4">
        <f t="shared" si="1"/>
        <v>0</v>
      </c>
      <c r="R23" s="4">
        <f t="shared" si="1"/>
        <v>0</v>
      </c>
      <c r="S23" s="4">
        <f t="shared" si="1"/>
        <v>0</v>
      </c>
      <c r="T23" s="4">
        <f t="shared" si="1"/>
        <v>0</v>
      </c>
    </row>
    <row r="24" spans="1:21" x14ac:dyDescent="0.2">
      <c r="B24" t="s">
        <v>36</v>
      </c>
      <c r="F24" s="4">
        <f>F22+F23</f>
        <v>-62745.008627485484</v>
      </c>
      <c r="G24" s="4">
        <f t="shared" ref="G24:T24" si="2">G22+G23</f>
        <v>-8222745.0086274855</v>
      </c>
      <c r="H24" s="4">
        <f t="shared" si="2"/>
        <v>-2622745.0086274855</v>
      </c>
      <c r="I24" s="4">
        <f t="shared" si="2"/>
        <v>1377254.9913725145</v>
      </c>
      <c r="J24" s="4">
        <f t="shared" si="2"/>
        <v>4225254.9913725145</v>
      </c>
      <c r="K24" s="4">
        <f t="shared" si="2"/>
        <v>4233254.9913725145</v>
      </c>
      <c r="L24" s="4">
        <f t="shared" si="2"/>
        <v>4225254.9913725145</v>
      </c>
      <c r="M24" s="4">
        <f t="shared" si="2"/>
        <v>7801254.9913725145</v>
      </c>
      <c r="N24" s="4">
        <f t="shared" si="2"/>
        <v>11369254.991372515</v>
      </c>
      <c r="O24" s="4">
        <f t="shared" si="2"/>
        <v>11369254.991372515</v>
      </c>
      <c r="P24" s="4">
        <f t="shared" si="2"/>
        <v>11369254.991372515</v>
      </c>
      <c r="Q24" s="4">
        <f t="shared" si="2"/>
        <v>11369254.991372515</v>
      </c>
      <c r="R24" s="4">
        <f t="shared" si="2"/>
        <v>11369254.991372515</v>
      </c>
      <c r="S24" s="4">
        <f t="shared" si="2"/>
        <v>11369254.991372515</v>
      </c>
      <c r="T24" s="4">
        <f t="shared" si="2"/>
        <v>11369254.991372515</v>
      </c>
    </row>
    <row r="25" spans="1:21" x14ac:dyDescent="0.2">
      <c r="B25" t="s">
        <v>37</v>
      </c>
      <c r="F25" s="4">
        <f>$E$7*F24</f>
        <v>-14431.351984321662</v>
      </c>
      <c r="G25" s="4">
        <f t="shared" ref="G25:T25" si="3">$E$7*G24</f>
        <v>-1891231.3519843218</v>
      </c>
      <c r="H25" s="4">
        <f t="shared" si="3"/>
        <v>-603231.35198432172</v>
      </c>
      <c r="I25" s="4">
        <f t="shared" si="3"/>
        <v>316768.64801567834</v>
      </c>
      <c r="J25" s="4">
        <f t="shared" si="3"/>
        <v>971808.64801567839</v>
      </c>
      <c r="K25" s="4">
        <f t="shared" si="3"/>
        <v>973648.64801567839</v>
      </c>
      <c r="L25" s="4">
        <f t="shared" si="3"/>
        <v>971808.64801567839</v>
      </c>
      <c r="M25" s="4">
        <f t="shared" si="3"/>
        <v>1794288.6480156784</v>
      </c>
      <c r="N25" s="4">
        <f t="shared" si="3"/>
        <v>2614928.6480156784</v>
      </c>
      <c r="O25" s="4">
        <f t="shared" si="3"/>
        <v>2614928.6480156784</v>
      </c>
      <c r="P25" s="4">
        <f t="shared" si="3"/>
        <v>2614928.6480156784</v>
      </c>
      <c r="Q25" s="4">
        <f t="shared" si="3"/>
        <v>2614928.6480156784</v>
      </c>
      <c r="R25" s="4">
        <f t="shared" si="3"/>
        <v>2614928.6480156784</v>
      </c>
      <c r="S25" s="4">
        <f t="shared" si="3"/>
        <v>2614928.6480156784</v>
      </c>
      <c r="T25" s="4">
        <f t="shared" si="3"/>
        <v>2614928.6480156784</v>
      </c>
    </row>
    <row r="26" spans="1:21" x14ac:dyDescent="0.2">
      <c r="B26" t="s">
        <v>38</v>
      </c>
      <c r="F26" s="4">
        <f>F24-F25</f>
        <v>-48313.65664316382</v>
      </c>
      <c r="G26" s="4">
        <f t="shared" ref="G26:T26" si="4">G24-G25</f>
        <v>-6331513.6566431634</v>
      </c>
      <c r="H26" s="4">
        <f t="shared" si="4"/>
        <v>-2019513.6566431639</v>
      </c>
      <c r="I26" s="4">
        <f t="shared" si="4"/>
        <v>1060486.3433568361</v>
      </c>
      <c r="J26" s="4">
        <f t="shared" si="4"/>
        <v>3253446.3433568361</v>
      </c>
      <c r="K26" s="4">
        <f t="shared" si="4"/>
        <v>3259606.3433568361</v>
      </c>
      <c r="L26" s="4">
        <f t="shared" si="4"/>
        <v>3253446.3433568361</v>
      </c>
      <c r="M26" s="4">
        <f t="shared" si="4"/>
        <v>6006966.3433568366</v>
      </c>
      <c r="N26" s="4">
        <f t="shared" si="4"/>
        <v>8754326.3433568366</v>
      </c>
      <c r="O26" s="4">
        <f t="shared" si="4"/>
        <v>8754326.3433568366</v>
      </c>
      <c r="P26" s="4">
        <f t="shared" si="4"/>
        <v>8754326.3433568366</v>
      </c>
      <c r="Q26" s="4">
        <f t="shared" si="4"/>
        <v>8754326.3433568366</v>
      </c>
      <c r="R26" s="4">
        <f t="shared" si="4"/>
        <v>8754326.3433568366</v>
      </c>
      <c r="S26" s="4">
        <f t="shared" si="4"/>
        <v>8754326.3433568366</v>
      </c>
      <c r="T26" s="4">
        <f t="shared" si="4"/>
        <v>8754326.3433568366</v>
      </c>
    </row>
    <row r="27" spans="1:21" x14ac:dyDescent="0.2">
      <c r="B27" t="s">
        <v>39</v>
      </c>
      <c r="F27" s="4">
        <f>F26-F23</f>
        <v>11383686.343356837</v>
      </c>
      <c r="G27" s="4">
        <f t="shared" ref="G27:T27" si="5">G26-G23</f>
        <v>13260486.343356837</v>
      </c>
      <c r="H27" s="4">
        <f t="shared" si="5"/>
        <v>11972486.343356837</v>
      </c>
      <c r="I27" s="4">
        <f t="shared" si="5"/>
        <v>11052486.343356837</v>
      </c>
      <c r="J27" s="4">
        <f t="shared" si="5"/>
        <v>10397446.343356837</v>
      </c>
      <c r="K27" s="4">
        <f t="shared" si="5"/>
        <v>10395606.343356837</v>
      </c>
      <c r="L27" s="4">
        <f t="shared" si="5"/>
        <v>10397446.343356837</v>
      </c>
      <c r="M27" s="4">
        <f t="shared" si="5"/>
        <v>9574966.3433568366</v>
      </c>
      <c r="N27" s="4">
        <f t="shared" si="5"/>
        <v>8754326.3433568366</v>
      </c>
      <c r="O27" s="4">
        <f t="shared" si="5"/>
        <v>8754326.3433568366</v>
      </c>
      <c r="P27" s="4">
        <f t="shared" si="5"/>
        <v>8754326.3433568366</v>
      </c>
      <c r="Q27" s="4">
        <f t="shared" si="5"/>
        <v>8754326.3433568366</v>
      </c>
      <c r="R27" s="4">
        <f t="shared" si="5"/>
        <v>8754326.3433568366</v>
      </c>
      <c r="S27" s="4">
        <f t="shared" si="5"/>
        <v>8754326.3433568366</v>
      </c>
      <c r="T27" s="4">
        <f t="shared" si="5"/>
        <v>8754326.3433568366</v>
      </c>
    </row>
    <row r="29" spans="1:21" x14ac:dyDescent="0.2">
      <c r="A29" t="s">
        <v>41</v>
      </c>
      <c r="D29" s="4">
        <f>D16+D17</f>
        <v>-40150000</v>
      </c>
      <c r="E29" s="4">
        <f>E17+E18+E19</f>
        <v>-41130000</v>
      </c>
      <c r="F29" s="4">
        <f>F27</f>
        <v>11383686.343356837</v>
      </c>
      <c r="G29" s="4">
        <f t="shared" ref="G29:S29" si="6">G27</f>
        <v>13260486.343356837</v>
      </c>
      <c r="H29" s="4">
        <f t="shared" si="6"/>
        <v>11972486.343356837</v>
      </c>
      <c r="I29" s="4">
        <f t="shared" si="6"/>
        <v>11052486.343356837</v>
      </c>
      <c r="J29" s="4">
        <f t="shared" si="6"/>
        <v>10397446.343356837</v>
      </c>
      <c r="K29" s="4">
        <f t="shared" si="6"/>
        <v>10395606.343356837</v>
      </c>
      <c r="L29" s="4">
        <f t="shared" si="6"/>
        <v>10397446.343356837</v>
      </c>
      <c r="M29" s="4">
        <f t="shared" si="6"/>
        <v>9574966.3433568366</v>
      </c>
      <c r="N29" s="4">
        <f t="shared" si="6"/>
        <v>8754326.3433568366</v>
      </c>
      <c r="O29" s="4">
        <f t="shared" si="6"/>
        <v>8754326.3433568366</v>
      </c>
      <c r="P29" s="4">
        <f t="shared" si="6"/>
        <v>8754326.3433568366</v>
      </c>
      <c r="Q29" s="4">
        <f t="shared" si="6"/>
        <v>8754326.3433568366</v>
      </c>
      <c r="R29" s="4">
        <f t="shared" si="6"/>
        <v>8754326.3433568366</v>
      </c>
      <c r="S29" s="4">
        <f t="shared" si="6"/>
        <v>8754326.3433568366</v>
      </c>
      <c r="T29" s="4">
        <f>T16+T18+T19+T27</f>
        <v>10034326.343356837</v>
      </c>
    </row>
    <row r="30" spans="1:21" x14ac:dyDescent="0.2">
      <c r="A30" t="s">
        <v>40</v>
      </c>
      <c r="D30">
        <f>EXP(-D14*$D$10)</f>
        <v>1</v>
      </c>
      <c r="E30">
        <f t="shared" ref="E30:T30" si="7">EXP(-E14*$D$10)</f>
        <v>0.91793403338625446</v>
      </c>
      <c r="F30">
        <f t="shared" si="7"/>
        <v>0.84260288964875729</v>
      </c>
      <c r="G30">
        <f t="shared" si="7"/>
        <v>0.7734538690381968</v>
      </c>
      <c r="H30">
        <f t="shared" si="7"/>
        <v>0.70997962964443584</v>
      </c>
      <c r="I30">
        <f t="shared" si="7"/>
        <v>0.65171446506159614</v>
      </c>
      <c r="J30">
        <f t="shared" si="7"/>
        <v>0.59823088753015619</v>
      </c>
      <c r="K30">
        <f t="shared" si="7"/>
        <v>0.54913649148679489</v>
      </c>
      <c r="L30">
        <f t="shared" si="7"/>
        <v>0.50407107451005029</v>
      </c>
      <c r="M30">
        <f t="shared" si="7"/>
        <v>0.46270399453835365</v>
      </c>
      <c r="N30">
        <f t="shared" si="7"/>
        <v>0.42473174397052238</v>
      </c>
      <c r="O30">
        <f t="shared" si="7"/>
        <v>0.38987572285003957</v>
      </c>
      <c r="P30">
        <f t="shared" si="7"/>
        <v>0.35788019479511829</v>
      </c>
      <c r="Q30">
        <f t="shared" si="7"/>
        <v>0.32851041067734138</v>
      </c>
      <c r="R30">
        <f t="shared" si="7"/>
        <v>0.30155088628242677</v>
      </c>
      <c r="S30">
        <f t="shared" si="7"/>
        <v>0.27680382131642783</v>
      </c>
      <c r="T30">
        <f t="shared" si="7"/>
        <v>0.25408764815771662</v>
      </c>
    </row>
    <row r="31" spans="1:21" x14ac:dyDescent="0.2">
      <c r="A31" t="s">
        <v>42</v>
      </c>
      <c r="D31" s="4">
        <f>D29*D30</f>
        <v>-40150000</v>
      </c>
      <c r="E31" s="4">
        <f t="shared" ref="E31:T31" si="8">E29*E30</f>
        <v>-37754626.793176644</v>
      </c>
      <c r="F31" s="4">
        <f t="shared" si="8"/>
        <v>9591927.0077675655</v>
      </c>
      <c r="G31" s="4">
        <f t="shared" si="8"/>
        <v>10256374.467597516</v>
      </c>
      <c r="H31" s="4">
        <f t="shared" si="8"/>
        <v>8500221.4199795518</v>
      </c>
      <c r="I31" s="4">
        <f t="shared" si="8"/>
        <v>7203065.2248613974</v>
      </c>
      <c r="J31" s="4">
        <f t="shared" si="8"/>
        <v>6220073.5540335374</v>
      </c>
      <c r="K31" s="4">
        <f t="shared" si="8"/>
        <v>5708606.7942688428</v>
      </c>
      <c r="L31" s="4">
        <f t="shared" si="8"/>
        <v>5241051.950456474</v>
      </c>
      <c r="M31" s="4">
        <f t="shared" si="8"/>
        <v>4430375.1746415021</v>
      </c>
      <c r="N31" s="4">
        <f t="shared" si="8"/>
        <v>3718240.2951010354</v>
      </c>
      <c r="O31" s="4">
        <f t="shared" si="8"/>
        <v>3413099.3111813902</v>
      </c>
      <c r="P31" s="4">
        <f t="shared" si="8"/>
        <v>3133000.0170605802</v>
      </c>
      <c r="Q31" s="4">
        <f t="shared" si="8"/>
        <v>2875887.3422596226</v>
      </c>
      <c r="R31" s="4">
        <f t="shared" si="8"/>
        <v>2639874.8676448502</v>
      </c>
      <c r="S31" s="4">
        <f t="shared" si="8"/>
        <v>2423230.9848922431</v>
      </c>
      <c r="T31" s="4">
        <f t="shared" si="8"/>
        <v>2549598.3814305589</v>
      </c>
      <c r="U31" s="4"/>
    </row>
    <row r="32" spans="1:21" x14ac:dyDescent="0.2">
      <c r="A32" s="5" t="s">
        <v>43</v>
      </c>
      <c r="B32" s="5">
        <f>SUM(D31:T31)</f>
        <v>8.8475644588470459E-9</v>
      </c>
    </row>
    <row r="34" spans="1:6" x14ac:dyDescent="0.2">
      <c r="A34" t="s">
        <v>44</v>
      </c>
    </row>
    <row r="35" spans="1:6" x14ac:dyDescent="0.2">
      <c r="B35" t="s">
        <v>48</v>
      </c>
    </row>
    <row r="36" spans="1:6" x14ac:dyDescent="0.2">
      <c r="C36" s="3" t="s">
        <v>45</v>
      </c>
    </row>
    <row r="37" spans="1:6" x14ac:dyDescent="0.2">
      <c r="C37" s="3" t="s">
        <v>46</v>
      </c>
    </row>
    <row r="38" spans="1:6" x14ac:dyDescent="0.2">
      <c r="B38" t="s">
        <v>47</v>
      </c>
    </row>
    <row r="41" spans="1:6" x14ac:dyDescent="0.2">
      <c r="A41" t="s">
        <v>49</v>
      </c>
    </row>
    <row r="42" spans="1:6" x14ac:dyDescent="0.2">
      <c r="C42" t="s">
        <v>50</v>
      </c>
    </row>
    <row r="43" spans="1:6" x14ac:dyDescent="0.2">
      <c r="A43" t="s">
        <v>51</v>
      </c>
    </row>
    <row r="44" spans="1:6" x14ac:dyDescent="0.2">
      <c r="B44" t="s">
        <v>52</v>
      </c>
    </row>
    <row r="45" spans="1:6" x14ac:dyDescent="0.2">
      <c r="B45" t="s">
        <v>53</v>
      </c>
      <c r="E45">
        <v>4252</v>
      </c>
      <c r="F45" t="s"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Lamoureux, Christopher G - (lamoureu)</dc:creator>
  <cp:lastModifiedBy>Microsoft Office User</cp:lastModifiedBy>
  <dcterms:created xsi:type="dcterms:W3CDTF">2023-02-14T15:22:01Z</dcterms:created>
  <dcterms:modified xsi:type="dcterms:W3CDTF">2023-02-14T17:48:28Z</dcterms:modified>
</cp:coreProperties>
</file>