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480" yWindow="80" windowWidth="24780" windowHeight="14380" activeTab="1"/>
  </bookViews>
  <sheets>
    <sheet name="Basics" sheetId="4" r:id="rId1"/>
    <sheet name="Quiz Assumpt" sheetId="1" r:id="rId2"/>
  </sheets>
  <definedNames>
    <definedName name="solver_adj" localSheetId="0" hidden="1">Basics!$D$20</definedName>
    <definedName name="solver_cvg" localSheetId="0" hidden="1">1E-26</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Basics!$H$40</definedName>
    <definedName name="solver_pre" localSheetId="0" hidden="1">1E-23</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304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40" i="4"/>
  <c r="H37"/>
  <c r="K35"/>
  <c r="I35"/>
  <c r="K29"/>
  <c r="I24"/>
  <c r="D23"/>
  <c r="L22"/>
  <c r="K22"/>
  <c r="J22"/>
  <c r="I22"/>
  <c r="H22"/>
  <c r="G22"/>
  <c r="F22"/>
  <c r="E22"/>
  <c r="L21"/>
  <c r="K21"/>
  <c r="J21"/>
  <c r="I21"/>
  <c r="H21"/>
  <c r="G21"/>
  <c r="F21"/>
  <c r="E21"/>
  <c r="N17"/>
  <c r="L17"/>
  <c r="D10"/>
  <c r="L9"/>
  <c r="K9"/>
  <c r="J9"/>
  <c r="I9"/>
  <c r="H9"/>
  <c r="G9"/>
  <c r="F9"/>
  <c r="E9"/>
  <c r="L6"/>
  <c r="K6"/>
  <c r="J6"/>
  <c r="I6"/>
  <c r="H6"/>
  <c r="G6"/>
  <c r="F6"/>
  <c r="E6"/>
  <c r="L5"/>
  <c r="K5"/>
  <c r="J5"/>
  <c r="I5"/>
  <c r="H5"/>
  <c r="G5"/>
  <c r="F5"/>
  <c r="E5"/>
  <c r="AA77" i="1"/>
  <c r="J77"/>
  <c r="AD76"/>
  <c r="M76"/>
  <c r="AD75"/>
  <c r="M75"/>
  <c r="AD74"/>
  <c r="M74"/>
  <c r="AD73"/>
  <c r="M73"/>
  <c r="AD72"/>
  <c r="D69"/>
  <c r="L68"/>
  <c r="K68"/>
  <c r="J68"/>
  <c r="I68"/>
  <c r="H68"/>
  <c r="G68"/>
  <c r="F68"/>
  <c r="E68"/>
  <c r="L67"/>
  <c r="K67"/>
  <c r="J67"/>
  <c r="I67"/>
  <c r="H67"/>
  <c r="G67"/>
  <c r="F67"/>
  <c r="E67"/>
  <c r="U66"/>
  <c r="L66"/>
  <c r="K66"/>
  <c r="J66"/>
  <c r="I66"/>
  <c r="H66"/>
  <c r="G66"/>
  <c r="F66"/>
  <c r="E66"/>
  <c r="AC65"/>
  <c r="AB65"/>
  <c r="AA65"/>
  <c r="Z65"/>
  <c r="Y65"/>
  <c r="X65"/>
  <c r="W65"/>
  <c r="V65"/>
  <c r="L65"/>
  <c r="K65"/>
  <c r="J65"/>
  <c r="I65"/>
  <c r="H65"/>
  <c r="G65"/>
  <c r="F65"/>
  <c r="E65"/>
  <c r="AC64"/>
  <c r="AB64"/>
  <c r="AA64"/>
  <c r="Z64"/>
  <c r="Y64"/>
  <c r="X64"/>
  <c r="W64"/>
  <c r="V64"/>
  <c r="AC63"/>
  <c r="AB63"/>
  <c r="AA63"/>
  <c r="Z63"/>
  <c r="Y63"/>
  <c r="X63"/>
  <c r="W63"/>
  <c r="V63"/>
  <c r="AC62"/>
  <c r="AB62"/>
  <c r="AA62"/>
  <c r="Z62"/>
  <c r="Y62"/>
  <c r="X62"/>
  <c r="W62"/>
  <c r="V62"/>
  <c r="L62"/>
  <c r="L44"/>
  <c r="L42"/>
  <c r="L41"/>
  <c r="L40"/>
  <c r="L35"/>
  <c r="G33"/>
  <c r="G32"/>
  <c r="G31"/>
  <c r="N29"/>
  <c r="D23"/>
  <c r="L22"/>
  <c r="K22"/>
  <c r="J22"/>
  <c r="I22"/>
  <c r="H22"/>
  <c r="G22"/>
  <c r="F22"/>
  <c r="E22"/>
  <c r="L21"/>
  <c r="K21"/>
  <c r="J21"/>
  <c r="I21"/>
  <c r="H21"/>
  <c r="G21"/>
  <c r="F21"/>
  <c r="E21"/>
  <c r="L20"/>
  <c r="K20"/>
  <c r="J20"/>
  <c r="I20"/>
  <c r="H20"/>
  <c r="G20"/>
  <c r="F20"/>
  <c r="E20"/>
  <c r="D10"/>
  <c r="L9"/>
  <c r="K9"/>
  <c r="J9"/>
  <c r="I9"/>
  <c r="H9"/>
  <c r="G9"/>
  <c r="F9"/>
  <c r="E9"/>
  <c r="L6"/>
  <c r="K6"/>
  <c r="J6"/>
  <c r="I6"/>
  <c r="H6"/>
  <c r="G6"/>
  <c r="F6"/>
  <c r="E6"/>
</calcChain>
</file>

<file path=xl/sharedStrings.xml><?xml version="1.0" encoding="utf-8"?>
<sst xmlns="http://schemas.openxmlformats.org/spreadsheetml/2006/main" count="137" uniqueCount="105">
  <si>
    <t xml:space="preserve">   This is the value of the security.  Notice that because we are closer in time to the next payment, the value is greater than par, even though we are discounting at the coupon rate.</t>
  </si>
  <si>
    <t>In the US. The quote on this bond will arbitrarily define a value called accrued interest to take this cash flow timing into effect.</t>
  </si>
  <si>
    <t>We define the accrued interest as the elapsed proportion of the time between the last coupon and the next times the dollar amount of the coupon.</t>
  </si>
  <si>
    <t>So in this case, we have:</t>
  </si>
  <si>
    <t>Time proportion:</t>
  </si>
  <si>
    <t>We need the last nominal coupon payment date (or issue date, of this is the first coupon).  In this case:</t>
  </si>
  <si>
    <t xml:space="preserve">  and the next nominal coupon date:</t>
  </si>
  <si>
    <t>Cash coupon:</t>
  </si>
  <si>
    <t xml:space="preserve">  Accrued Interest:</t>
  </si>
  <si>
    <t xml:space="preserve">  </t>
    <phoneticPr fontId="3" type="noConversion"/>
  </si>
  <si>
    <t xml:space="preserve">   Note that the clean price quoted on Thursday, January 30, is the value of the bond as of January 31 minus accrued interest on that date.</t>
    <phoneticPr fontId="3" type="noConversion"/>
  </si>
  <si>
    <t>We set up a criterion cell for Solver to minimize:</t>
  </si>
  <si>
    <t>Tell Solver to minimize this criterion by changing our guess in cell D22.</t>
  </si>
  <si>
    <t>If the value is less than 10^(-18) we're good.</t>
  </si>
  <si>
    <t>So the ytm at the bid quote is:</t>
  </si>
  <si>
    <t xml:space="preserve">  on a bond-equivalent basis.</t>
  </si>
  <si>
    <t>We can do the same using the ask quote as the bogie.  Criterion Cell:</t>
  </si>
  <si>
    <t>And we find that the ask yield is:</t>
  </si>
  <si>
    <t xml:space="preserve">Note that it must be the case that the ytm at the bid quote be higher than the ytm of the ask quote.  </t>
  </si>
  <si>
    <t>Why?</t>
  </si>
  <si>
    <t>Now, let's suppose that the bond were selling at a discount.  Example:</t>
  </si>
  <si>
    <t>Today:</t>
  </si>
  <si>
    <t xml:space="preserve">  Settlement:</t>
  </si>
  <si>
    <t>Note: 3.25% Feb 15, 2023</t>
  </si>
  <si>
    <t>Future Cash Flows:</t>
  </si>
  <si>
    <t>T:</t>
  </si>
  <si>
    <t xml:space="preserve">  Things to note on the time.  Here I am using Excel, so I can compute the exact number of days between dates.</t>
  </si>
  <si>
    <t xml:space="preserve">    I use 365.25 for the length of a year, since this adjusts for leap years.</t>
  </si>
  <si>
    <t>We have to check the calendar to see if any of the acheduled payment dates falls on a weekend or holiday.</t>
  </si>
  <si>
    <t xml:space="preserve">  For example 2/15/2020 is a Saturday, so the interest payment will not be credited to the owner's account</t>
  </si>
  <si>
    <t xml:space="preserve">           until Monday, Feb. 17.</t>
  </si>
  <si>
    <t>For quiz purposes, you may assume that any 6-month period comprises exactly 1/2 of a year</t>
  </si>
  <si>
    <t xml:space="preserve">    $ Amount (per 100 par)</t>
  </si>
  <si>
    <t>PV(@ df)</t>
  </si>
  <si>
    <t>(BEY)</t>
  </si>
  <si>
    <t>The next worksheet (with the quiz assumptions), shows that the bad days and actual clock shave .002% off the value of this security.</t>
  </si>
  <si>
    <t>As you can see here, we simply approximate the time between all cash flows to be half a year.</t>
  </si>
  <si>
    <t>Now, let's consider what happens when we're between coupon payment dates:</t>
  </si>
  <si>
    <t>Thursday, Jan 30, 2020.  :: Settlement:</t>
  </si>
  <si>
    <t>In the spirit of quiz assumptions, we assume that there is 1/2 of a month until the next cash flow, and that each month is 1/12 of a year:</t>
  </si>
  <si>
    <t>Approx T:</t>
  </si>
  <si>
    <t>Discount rate:</t>
  </si>
  <si>
    <t>df:</t>
  </si>
  <si>
    <t>PV:</t>
  </si>
  <si>
    <t>We have obtained the cash value of the bond -- i.e., its dirty price.  We were asked for the clean price, so we have to compute the accrued interest.</t>
  </si>
  <si>
    <t>On a quiz we use our time approximations:</t>
  </si>
  <si>
    <t>Time between last and next coupon payment:</t>
  </si>
  <si>
    <t>Time between last coupon payment and settlement:</t>
  </si>
  <si>
    <t>Proportion of coupon period elapsed:</t>
  </si>
  <si>
    <t>$ Coupon:</t>
  </si>
  <si>
    <t>AI:</t>
  </si>
  <si>
    <t>So the clean price corresponding to the market yield to maturity is:</t>
  </si>
  <si>
    <t xml:space="preserve">A reminder that this is an approximation.  </t>
  </si>
  <si>
    <t>Settlement Date:</t>
  </si>
  <si>
    <t>The quoted bond price is reported net of this value, so in this case the clean price is:</t>
  </si>
  <si>
    <t>Please  do not think that the accrued interest is anything other than a reporting convenntion.</t>
  </si>
  <si>
    <t>However, in the US, we have to keep it in mind, since our quotes are net of this arbitrary amount.</t>
  </si>
  <si>
    <t>On a quiz, we can again simplify ratios.  So in this case we would assume that there is 1/2 a year between all coupon payments and therefore 1/2 of a month is 1/24 of a year.</t>
  </si>
  <si>
    <t xml:space="preserve">  Using this approximation, we would compute the accrued interest:</t>
  </si>
  <si>
    <t>Elapsed portion of coupon period:</t>
  </si>
  <si>
    <t>cash Coupon:</t>
  </si>
  <si>
    <t>Time approx accrued interest:</t>
  </si>
  <si>
    <t>Time Approx clean price:</t>
  </si>
  <si>
    <t>A bond's yield to maturity is the single discount rate, which when used to discount all of the bond's future cash flows results in the bond's price.</t>
  </si>
  <si>
    <t>Let's suppose that on Bloomberg, on 8/14/2019, we saw the following quotes for the 3.25% Feb 15 2023 note:</t>
  </si>
  <si>
    <t>Bid:</t>
  </si>
  <si>
    <t>103-3+</t>
  </si>
  <si>
    <t>Ask:</t>
  </si>
  <si>
    <t>103-4</t>
  </si>
  <si>
    <t xml:space="preserve"> Note that these prices are quoted in 32nds.</t>
  </si>
  <si>
    <t>103-3+ means 103 + 3.5/32.</t>
  </si>
  <si>
    <t>So in decimal terms  (as % of par) these quotes are:</t>
  </si>
  <si>
    <t>There is no closed-form solution for the yield to maturity when there are multiple future cash flows, so we solve for the ytm using Solver:</t>
  </si>
  <si>
    <t>Guess bid ytm:</t>
  </si>
  <si>
    <t xml:space="preserve">  We know before we do any computations that the ytm at both the bid and the ask will be less than 3.25%</t>
  </si>
  <si>
    <t>df(@ytm):</t>
  </si>
  <si>
    <t>PV(@ytm)</t>
  </si>
  <si>
    <t xml:space="preserve">           until Tuesday, Feb. 18, since Monday, Feb 17 is also a national holiday (Presidents' Day).</t>
  </si>
  <si>
    <t>last coupon date:</t>
  </si>
  <si>
    <t>If you have a spreadsheet handy you can use the actual dates:</t>
  </si>
  <si>
    <t>Note that it must be the case that the bid ytm is higher than the ask ytm.</t>
  </si>
  <si>
    <t xml:space="preserve">    enable you to write the time line (in years) with no calendar data.</t>
    <phoneticPr fontId="3" type="noConversion"/>
  </si>
  <si>
    <t>The idea on the quiz is to make consistent, realistic assumptions about the calendar that</t>
    <phoneticPr fontId="3" type="noConversion"/>
  </si>
  <si>
    <t xml:space="preserve">    Next business day settlement in the US Treasury Market.  August 14 2019 is a Wenesday, so the next calendar day is also the next business day.</t>
    <phoneticPr fontId="3" type="noConversion"/>
  </si>
  <si>
    <t>98-17</t>
  </si>
  <si>
    <t>98-18</t>
  </si>
  <si>
    <t>Convert to decimal:</t>
  </si>
  <si>
    <t>Set up criterion to find the ytm of the bid:</t>
  </si>
  <si>
    <t>Apply solver to find the bid ytm:</t>
  </si>
  <si>
    <t>We must remember to use the cash value of the bond (not its clean price) when we compute its yield to maturity!</t>
  </si>
  <si>
    <t xml:space="preserve">  This is not an issue if we settle the transaction on a coupon payment (or issue) date.</t>
  </si>
  <si>
    <t>Here is an example quiz question:</t>
  </si>
  <si>
    <t>Today is Thursday February 7, 2019.  What is the quoted price of a 6.5% August 15, 2022 bond with a yield to maturity of 3.3%?</t>
  </si>
  <si>
    <t>How to answer:</t>
  </si>
  <si>
    <t>1. What should we see:  This bond's coupon rate is above its yield, so it must be selling at a premium to par.  Our answer will express the price in percentage of par terms, so it must be greater than 100.</t>
  </si>
  <si>
    <t>2,  We can compute the present value of the future cash flows by discounting them all at the market yield to maturity.  The question does not mention anything about the compounding frequency.</t>
  </si>
  <si>
    <t xml:space="preserve">     so we will assume that the yield is expressed in bond equivalent terms.</t>
  </si>
  <si>
    <t>3. We approximate the time intervals.</t>
  </si>
  <si>
    <t>The first is one week from settlement, and we will assume that each 6-month interval is exactly 1/2 of a year.</t>
  </si>
  <si>
    <t>We approximate 52 weeks in a year, then the time between settlement and the first cash flow is:</t>
  </si>
  <si>
    <t>And our approximate time line is:</t>
  </si>
  <si>
    <t>T (Years):</t>
  </si>
  <si>
    <t>Date:</t>
  </si>
  <si>
    <t>CF:</t>
  </si>
  <si>
    <t>Coupon:</t>
  </si>
</sst>
</file>

<file path=xl/styles.xml><?xml version="1.0" encoding="utf-8"?>
<styleSheet xmlns="http://schemas.openxmlformats.org/spreadsheetml/2006/main">
  <numFmts count="1">
    <numFmt numFmtId="164" formatCode="0.0000%"/>
  </numFmts>
  <fonts count="5">
    <font>
      <sz val="11"/>
      <color theme="1"/>
      <name val="Calibri"/>
      <family val="2"/>
      <scheme val="minor"/>
    </font>
    <font>
      <b/>
      <sz val="11"/>
      <color theme="1"/>
      <name val="Calibri"/>
      <family val="2"/>
      <scheme val="minor"/>
    </font>
    <font>
      <b/>
      <i/>
      <sz val="11"/>
      <color theme="1"/>
      <name val="Calibri"/>
      <family val="2"/>
      <scheme val="minor"/>
    </font>
    <font>
      <sz val="8"/>
      <name val="Verdana"/>
    </font>
    <font>
      <b/>
      <sz val="11"/>
      <color indexed="8"/>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4" fontId="0" fillId="0" borderId="0" xfId="0" applyNumberFormat="1"/>
    <xf numFmtId="0" fontId="1" fillId="0" borderId="0" xfId="0" applyFont="1"/>
    <xf numFmtId="0" fontId="2" fillId="0" borderId="0" xfId="0" applyFont="1"/>
    <xf numFmtId="164" fontId="0" fillId="0" borderId="0" xfId="0" applyNumberFormat="1"/>
    <xf numFmtId="0" fontId="4" fillId="0" borderId="0" xfId="0" applyFo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alcChain" Target="calcChain.xml"/><Relationship Id="rId4"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43"/>
  <sheetViews>
    <sheetView topLeftCell="A15" workbookViewId="0">
      <selection activeCell="F3" sqref="F3"/>
    </sheetView>
  </sheetViews>
  <sheetFormatPr baseColWidth="10" defaultColWidth="8.83203125" defaultRowHeight="14"/>
  <cols>
    <col min="2" max="2" width="9.6640625" bestFit="1" customWidth="1"/>
    <col min="5" max="5" width="11" customWidth="1"/>
    <col min="6" max="12" width="9.6640625" bestFit="1" customWidth="1"/>
    <col min="13" max="13" width="9.6640625" customWidth="1"/>
  </cols>
  <sheetData>
    <row r="1" spans="1:15">
      <c r="A1" t="s">
        <v>21</v>
      </c>
      <c r="B1" s="1">
        <v>43691</v>
      </c>
      <c r="C1" t="s">
        <v>22</v>
      </c>
      <c r="E1" s="1">
        <v>43692</v>
      </c>
      <c r="F1" t="s">
        <v>83</v>
      </c>
    </row>
    <row r="2" spans="1:15">
      <c r="A2" t="s">
        <v>23</v>
      </c>
    </row>
    <row r="3" spans="1:15">
      <c r="A3">
        <v>3.2500000000000001E-2</v>
      </c>
    </row>
    <row r="4" spans="1:15">
      <c r="B4" t="s">
        <v>24</v>
      </c>
      <c r="E4" s="1">
        <v>43879</v>
      </c>
      <c r="F4" s="1">
        <v>44060</v>
      </c>
      <c r="G4" s="1">
        <v>44243</v>
      </c>
      <c r="H4" s="1">
        <v>44424</v>
      </c>
      <c r="I4" s="1">
        <v>44607</v>
      </c>
      <c r="J4" s="1">
        <v>44788</v>
      </c>
      <c r="K4" s="1">
        <v>44972</v>
      </c>
      <c r="L4" s="1">
        <v>45153</v>
      </c>
      <c r="M4" s="1"/>
    </row>
    <row r="5" spans="1:15">
      <c r="B5" t="s">
        <v>25</v>
      </c>
      <c r="E5">
        <f>(E4-$E$1)/365.25</f>
        <v>0.51197809719370291</v>
      </c>
      <c r="F5">
        <f t="shared" ref="F5:L5" si="0">(F4-$E$1)/365.25</f>
        <v>1.0075290896646132</v>
      </c>
      <c r="G5">
        <f t="shared" si="0"/>
        <v>1.5085557837097878</v>
      </c>
      <c r="H5">
        <f t="shared" si="0"/>
        <v>2.0041067761806981</v>
      </c>
      <c r="I5">
        <f t="shared" si="0"/>
        <v>2.5051334702258727</v>
      </c>
      <c r="J5">
        <f t="shared" si="0"/>
        <v>3.0006844626967832</v>
      </c>
      <c r="K5">
        <f t="shared" si="0"/>
        <v>3.5044490075290895</v>
      </c>
      <c r="L5">
        <f t="shared" si="0"/>
        <v>4</v>
      </c>
      <c r="N5" t="s">
        <v>26</v>
      </c>
    </row>
    <row r="6" spans="1:15">
      <c r="B6" t="s">
        <v>32</v>
      </c>
      <c r="E6">
        <f>100*0.5*$A$3</f>
        <v>1.625</v>
      </c>
      <c r="F6">
        <f t="shared" ref="F6:K6" si="1">100*0.5*$A$3</f>
        <v>1.625</v>
      </c>
      <c r="G6">
        <f t="shared" si="1"/>
        <v>1.625</v>
      </c>
      <c r="H6">
        <f t="shared" si="1"/>
        <v>1.625</v>
      </c>
      <c r="I6">
        <f t="shared" si="1"/>
        <v>1.625</v>
      </c>
      <c r="J6">
        <f t="shared" si="1"/>
        <v>1.625</v>
      </c>
      <c r="K6">
        <f t="shared" si="1"/>
        <v>1.625</v>
      </c>
      <c r="L6">
        <f>100*(1+0.5*A3)</f>
        <v>101.62500000000001</v>
      </c>
      <c r="N6" t="s">
        <v>27</v>
      </c>
    </row>
    <row r="7" spans="1:15">
      <c r="N7" t="s">
        <v>28</v>
      </c>
    </row>
    <row r="8" spans="1:15">
      <c r="A8" t="s">
        <v>41</v>
      </c>
      <c r="C8">
        <v>3.2500000000000001E-2</v>
      </c>
      <c r="D8" t="s">
        <v>34</v>
      </c>
      <c r="N8" t="s">
        <v>29</v>
      </c>
    </row>
    <row r="9" spans="1:15">
      <c r="B9" t="s">
        <v>33</v>
      </c>
      <c r="E9">
        <f>E6/(1+$C$8/2)^(2*E5)</f>
        <v>1.5983986348773864</v>
      </c>
      <c r="F9">
        <f t="shared" ref="F9:L9" si="2">F6/(1+$C$8/2)^(2*F5)</f>
        <v>1.5730655945281735</v>
      </c>
      <c r="G9">
        <f t="shared" si="2"/>
        <v>1.5478607901070096</v>
      </c>
      <c r="H9">
        <f t="shared" si="2"/>
        <v>1.5233287247040925</v>
      </c>
      <c r="I9">
        <f t="shared" si="2"/>
        <v>1.4989208406915862</v>
      </c>
      <c r="J9">
        <f t="shared" si="2"/>
        <v>1.475164425171106</v>
      </c>
      <c r="K9">
        <f t="shared" si="2"/>
        <v>1.4514001513199557</v>
      </c>
      <c r="L9">
        <f t="shared" si="2"/>
        <v>89.32974408020381</v>
      </c>
      <c r="N9" t="s">
        <v>77</v>
      </c>
    </row>
    <row r="10" spans="1:15">
      <c r="D10">
        <f>SUM(E9:L9)</f>
        <v>99.99788324160312</v>
      </c>
      <c r="N10" s="3" t="s">
        <v>31</v>
      </c>
    </row>
    <row r="11" spans="1:15">
      <c r="E11" t="s">
        <v>35</v>
      </c>
    </row>
    <row r="14" spans="1:15">
      <c r="A14" t="s">
        <v>63</v>
      </c>
    </row>
    <row r="16" spans="1:15">
      <c r="A16" t="s">
        <v>64</v>
      </c>
      <c r="K16" t="s">
        <v>65</v>
      </c>
      <c r="L16" t="s">
        <v>66</v>
      </c>
      <c r="M16" t="s">
        <v>67</v>
      </c>
      <c r="N16" t="s">
        <v>68</v>
      </c>
      <c r="O16" t="s">
        <v>69</v>
      </c>
    </row>
    <row r="17" spans="1:15">
      <c r="G17" t="s">
        <v>71</v>
      </c>
      <c r="L17">
        <f>103+3.5/32</f>
        <v>103.109375</v>
      </c>
      <c r="N17">
        <f>103+4/32</f>
        <v>103.125</v>
      </c>
      <c r="O17" t="s">
        <v>70</v>
      </c>
    </row>
    <row r="18" spans="1:15">
      <c r="A18" t="s">
        <v>72</v>
      </c>
    </row>
    <row r="20" spans="1:15">
      <c r="B20" t="s">
        <v>73</v>
      </c>
      <c r="D20">
        <v>3.6388219402963211E-2</v>
      </c>
      <c r="E20" t="s">
        <v>74</v>
      </c>
    </row>
    <row r="21" spans="1:15">
      <c r="D21" t="s">
        <v>75</v>
      </c>
      <c r="E21">
        <f>1/(1+$D$20/2)^(2*E5)</f>
        <v>0.98170686682615227</v>
      </c>
      <c r="F21">
        <f t="shared" ref="F21:L21" si="3">1/(1+$D$20/2)^(2*F5)</f>
        <v>0.96431944711936446</v>
      </c>
      <c r="G21">
        <f t="shared" si="3"/>
        <v>0.94705295959595626</v>
      </c>
      <c r="H21">
        <f t="shared" si="3"/>
        <v>0.93027930969138994</v>
      </c>
      <c r="I21">
        <f t="shared" si="3"/>
        <v>0.91362232310664981</v>
      </c>
      <c r="J21">
        <f t="shared" si="3"/>
        <v>0.89744077714608861</v>
      </c>
      <c r="K21">
        <f t="shared" si="3"/>
        <v>0.88128476273711354</v>
      </c>
      <c r="L21">
        <f t="shared" si="3"/>
        <v>0.86567596079356901</v>
      </c>
    </row>
    <row r="22" spans="1:15">
      <c r="D22" t="s">
        <v>76</v>
      </c>
      <c r="E22">
        <f t="shared" ref="E22:L22" si="4">E6*E21</f>
        <v>1.5952736585924974</v>
      </c>
      <c r="F22">
        <f t="shared" si="4"/>
        <v>1.5670191015689672</v>
      </c>
      <c r="G22">
        <f t="shared" si="4"/>
        <v>1.5389610593434289</v>
      </c>
      <c r="H22">
        <f t="shared" si="4"/>
        <v>1.5117038782485086</v>
      </c>
      <c r="I22">
        <f t="shared" si="4"/>
        <v>1.484636275048306</v>
      </c>
      <c r="J22">
        <f t="shared" si="4"/>
        <v>1.458341262862394</v>
      </c>
      <c r="K22">
        <f t="shared" si="4"/>
        <v>1.4320877394478095</v>
      </c>
      <c r="L22">
        <f t="shared" si="4"/>
        <v>87.974319515646457</v>
      </c>
    </row>
    <row r="23" spans="1:15">
      <c r="D23">
        <f>SUM(E22:L22)</f>
        <v>98.562342490758368</v>
      </c>
    </row>
    <row r="24" spans="1:15">
      <c r="D24" t="s">
        <v>11</v>
      </c>
      <c r="I24">
        <f>(L17-D23)^2</f>
        <v>20.67550464010025</v>
      </c>
    </row>
    <row r="25" spans="1:15">
      <c r="D25" t="s">
        <v>12</v>
      </c>
    </row>
    <row r="26" spans="1:15">
      <c r="D26" t="s">
        <v>13</v>
      </c>
    </row>
    <row r="27" spans="1:15">
      <c r="D27" t="s">
        <v>14</v>
      </c>
      <c r="G27" s="4">
        <v>2.4292000000000001E-2</v>
      </c>
      <c r="H27" t="s">
        <v>15</v>
      </c>
    </row>
    <row r="29" spans="1:15">
      <c r="D29" t="s">
        <v>16</v>
      </c>
      <c r="K29">
        <f>(N17-D23)^2</f>
        <v>20.81784354663905</v>
      </c>
    </row>
    <row r="30" spans="1:15">
      <c r="E30" t="s">
        <v>17</v>
      </c>
      <c r="H30" s="4">
        <v>2.4251000000000002E-2</v>
      </c>
    </row>
    <row r="32" spans="1:15">
      <c r="D32" t="s">
        <v>18</v>
      </c>
      <c r="M32" s="2" t="s">
        <v>19</v>
      </c>
    </row>
    <row r="34" spans="1:11">
      <c r="A34" t="s">
        <v>20</v>
      </c>
      <c r="H34" t="s">
        <v>65</v>
      </c>
      <c r="I34" t="s">
        <v>84</v>
      </c>
      <c r="J34" t="s">
        <v>67</v>
      </c>
      <c r="K34" t="s">
        <v>85</v>
      </c>
    </row>
    <row r="35" spans="1:11">
      <c r="E35" t="s">
        <v>86</v>
      </c>
      <c r="I35">
        <f>98+17/32</f>
        <v>98.53125</v>
      </c>
      <c r="K35">
        <f>98+18/32</f>
        <v>98.5625</v>
      </c>
    </row>
    <row r="37" spans="1:11">
      <c r="D37" t="s">
        <v>87</v>
      </c>
      <c r="H37">
        <f>(I35-D23)^2</f>
        <v>9.6674298155921719E-4</v>
      </c>
    </row>
    <row r="38" spans="1:11">
      <c r="D38" t="s">
        <v>88</v>
      </c>
      <c r="H38" s="4">
        <v>3.6473999999999999E-2</v>
      </c>
    </row>
    <row r="40" spans="1:11">
      <c r="D40" t="s">
        <v>87</v>
      </c>
      <c r="H40">
        <f>(K35-D23)^2</f>
        <v>2.4809161199397904E-8</v>
      </c>
    </row>
    <row r="41" spans="1:11">
      <c r="D41" t="s">
        <v>88</v>
      </c>
      <c r="H41" s="4">
        <v>3.6387999999999997E-2</v>
      </c>
    </row>
    <row r="43" spans="1:11">
      <c r="D43" t="s">
        <v>80</v>
      </c>
    </row>
  </sheetData>
  <phoneticPr fontId="3"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D77"/>
  <sheetViews>
    <sheetView tabSelected="1" workbookViewId="0">
      <selection activeCell="A36" sqref="A36:A37"/>
    </sheetView>
  </sheetViews>
  <sheetFormatPr baseColWidth="10" defaultColWidth="8.83203125" defaultRowHeight="14"/>
  <cols>
    <col min="2" max="2" width="9.6640625" bestFit="1" customWidth="1"/>
    <col min="5" max="5" width="11" customWidth="1"/>
    <col min="6" max="12" width="9.6640625" bestFit="1" customWidth="1"/>
    <col min="13" max="13" width="9.6640625" customWidth="1"/>
    <col min="14" max="14" width="9.6640625" bestFit="1" customWidth="1"/>
    <col min="19" max="19" width="9.6640625" bestFit="1" customWidth="1"/>
    <col min="22" max="22" width="9.6640625" bestFit="1" customWidth="1"/>
    <col min="23" max="29" width="12" bestFit="1" customWidth="1"/>
  </cols>
  <sheetData>
    <row r="1" spans="1:14">
      <c r="A1" t="s">
        <v>21</v>
      </c>
      <c r="B1" s="1">
        <v>43691</v>
      </c>
      <c r="C1" t="s">
        <v>22</v>
      </c>
      <c r="E1" s="1">
        <v>43692</v>
      </c>
    </row>
    <row r="2" spans="1:14">
      <c r="A2" t="s">
        <v>23</v>
      </c>
    </row>
    <row r="3" spans="1:14">
      <c r="A3">
        <v>3.2500000000000001E-2</v>
      </c>
    </row>
    <row r="4" spans="1:14">
      <c r="B4" t="s">
        <v>24</v>
      </c>
      <c r="E4" s="1">
        <v>43878</v>
      </c>
      <c r="F4" s="1">
        <v>44060</v>
      </c>
      <c r="G4" s="1">
        <v>44243</v>
      </c>
      <c r="H4" s="1">
        <v>44424</v>
      </c>
      <c r="I4" s="1">
        <v>44607</v>
      </c>
      <c r="J4" s="1">
        <v>44788</v>
      </c>
      <c r="K4" s="1">
        <v>44972</v>
      </c>
      <c r="L4" s="1">
        <v>45153</v>
      </c>
      <c r="M4" s="1"/>
    </row>
    <row r="5" spans="1:14">
      <c r="B5" t="s">
        <v>25</v>
      </c>
      <c r="E5">
        <v>0.5</v>
      </c>
      <c r="F5">
        <v>1</v>
      </c>
      <c r="G5">
        <v>1.5</v>
      </c>
      <c r="H5">
        <v>2</v>
      </c>
      <c r="I5">
        <v>2.5</v>
      </c>
      <c r="J5">
        <v>3</v>
      </c>
      <c r="K5">
        <v>3.5</v>
      </c>
      <c r="L5">
        <v>4</v>
      </c>
      <c r="N5" t="s">
        <v>26</v>
      </c>
    </row>
    <row r="6" spans="1:14">
      <c r="B6" t="s">
        <v>32</v>
      </c>
      <c r="E6">
        <f>100*0.5*$A$3</f>
        <v>1.625</v>
      </c>
      <c r="F6">
        <f t="shared" ref="F6:K6" si="0">100*0.5*$A$3</f>
        <v>1.625</v>
      </c>
      <c r="G6">
        <f t="shared" si="0"/>
        <v>1.625</v>
      </c>
      <c r="H6">
        <f t="shared" si="0"/>
        <v>1.625</v>
      </c>
      <c r="I6">
        <f t="shared" si="0"/>
        <v>1.625</v>
      </c>
      <c r="J6">
        <f t="shared" si="0"/>
        <v>1.625</v>
      </c>
      <c r="K6">
        <f t="shared" si="0"/>
        <v>1.625</v>
      </c>
      <c r="L6">
        <f>100*(1+0.5*A3)</f>
        <v>101.62500000000001</v>
      </c>
      <c r="N6" t="s">
        <v>27</v>
      </c>
    </row>
    <row r="7" spans="1:14">
      <c r="N7" t="s">
        <v>28</v>
      </c>
    </row>
    <row r="8" spans="1:14">
      <c r="A8" t="s">
        <v>41</v>
      </c>
      <c r="C8">
        <v>3.2500000000000001E-2</v>
      </c>
      <c r="D8" t="s">
        <v>34</v>
      </c>
      <c r="N8" t="s">
        <v>29</v>
      </c>
    </row>
    <row r="9" spans="1:14">
      <c r="B9" t="s">
        <v>33</v>
      </c>
      <c r="E9">
        <f>E6/(1+$C$8/2)^(2*E5)</f>
        <v>1.5990159901599015</v>
      </c>
      <c r="F9">
        <f t="shared" ref="F9:L9" si="1">F6/(1+$C$8/2)^(2*F5)</f>
        <v>1.5734474687920306</v>
      </c>
      <c r="G9">
        <f t="shared" si="1"/>
        <v>1.5482877921692797</v>
      </c>
      <c r="H9">
        <f t="shared" si="1"/>
        <v>1.5235304227987989</v>
      </c>
      <c r="I9">
        <f t="shared" si="1"/>
        <v>1.4991689277232954</v>
      </c>
      <c r="J9">
        <f t="shared" si="1"/>
        <v>1.4751969768494908</v>
      </c>
      <c r="K9">
        <f t="shared" si="1"/>
        <v>1.4516083413033116</v>
      </c>
      <c r="L9">
        <f t="shared" si="1"/>
        <v>89.32974408020381</v>
      </c>
      <c r="N9" t="s">
        <v>30</v>
      </c>
    </row>
    <row r="10" spans="1:14">
      <c r="D10">
        <f>SUM(E9:L9)</f>
        <v>99.999999999999915</v>
      </c>
      <c r="N10" s="3" t="s">
        <v>31</v>
      </c>
    </row>
    <row r="13" spans="1:14">
      <c r="A13" t="s">
        <v>36</v>
      </c>
    </row>
    <row r="15" spans="1:14">
      <c r="A15" t="s">
        <v>37</v>
      </c>
    </row>
    <row r="17" spans="1:19">
      <c r="A17" t="s">
        <v>21</v>
      </c>
      <c r="B17" t="s">
        <v>38</v>
      </c>
      <c r="F17" s="1">
        <v>43861</v>
      </c>
    </row>
    <row r="18" spans="1:19">
      <c r="B18" t="s">
        <v>39</v>
      </c>
      <c r="N18" t="s">
        <v>82</v>
      </c>
    </row>
    <row r="19" spans="1:19">
      <c r="N19" t="s">
        <v>81</v>
      </c>
    </row>
    <row r="20" spans="1:19">
      <c r="B20" t="s">
        <v>40</v>
      </c>
      <c r="E20">
        <f>1/24</f>
        <v>4.1666666666666664E-2</v>
      </c>
      <c r="F20">
        <f>0.5+E20</f>
        <v>0.54166666666666663</v>
      </c>
      <c r="G20">
        <f>1+E20</f>
        <v>1.0416666666666667</v>
      </c>
      <c r="H20">
        <f>1.5+E20</f>
        <v>1.5416666666666667</v>
      </c>
      <c r="I20">
        <f>2+E20</f>
        <v>2.0416666666666665</v>
      </c>
      <c r="J20">
        <f>2.5+E20</f>
        <v>2.5416666666666665</v>
      </c>
      <c r="K20">
        <f>3+E20</f>
        <v>3.0416666666666665</v>
      </c>
      <c r="L20">
        <f>3.5+E20</f>
        <v>3.5416666666666665</v>
      </c>
    </row>
    <row r="21" spans="1:19">
      <c r="B21" t="s">
        <v>32</v>
      </c>
      <c r="E21">
        <f>100*0.5*$A$3</f>
        <v>1.625</v>
      </c>
      <c r="F21">
        <f t="shared" ref="F21:K21" si="2">100*0.5*$A$3</f>
        <v>1.625</v>
      </c>
      <c r="G21">
        <f t="shared" si="2"/>
        <v>1.625</v>
      </c>
      <c r="H21">
        <f t="shared" si="2"/>
        <v>1.625</v>
      </c>
      <c r="I21">
        <f t="shared" si="2"/>
        <v>1.625</v>
      </c>
      <c r="J21">
        <f t="shared" si="2"/>
        <v>1.625</v>
      </c>
      <c r="K21">
        <f t="shared" si="2"/>
        <v>1.625</v>
      </c>
      <c r="L21">
        <f>100*(1+0.5*A3)</f>
        <v>101.62500000000001</v>
      </c>
    </row>
    <row r="22" spans="1:19">
      <c r="B22" t="s">
        <v>33</v>
      </c>
      <c r="E22">
        <f>1/(1+$C$8/2)^(2*E20)*E21</f>
        <v>1.6228186324607881</v>
      </c>
      <c r="F22">
        <f t="shared" ref="F22:L22" si="3">1/(1+$C$8/2)^(2*F20)*F21</f>
        <v>1.5968695030364455</v>
      </c>
      <c r="G22">
        <f t="shared" si="3"/>
        <v>1.5713353043409057</v>
      </c>
      <c r="H22">
        <f t="shared" si="3"/>
        <v>1.5462094015654666</v>
      </c>
      <c r="I22">
        <f t="shared" si="3"/>
        <v>1.5214852659930789</v>
      </c>
      <c r="J22">
        <f t="shared" si="3"/>
        <v>1.4971564733019227</v>
      </c>
      <c r="K22">
        <f t="shared" si="3"/>
        <v>1.4732167018961106</v>
      </c>
      <c r="L22">
        <f t="shared" si="3"/>
        <v>90.659489347452975</v>
      </c>
    </row>
    <row r="23" spans="1:19">
      <c r="D23">
        <f>SUM(E22:L22)</f>
        <v>101.48858063004769</v>
      </c>
    </row>
    <row r="24" spans="1:19">
      <c r="D24" t="s">
        <v>0</v>
      </c>
    </row>
    <row r="26" spans="1:19">
      <c r="D26" t="s">
        <v>1</v>
      </c>
    </row>
    <row r="28" spans="1:19">
      <c r="D28" t="s">
        <v>2</v>
      </c>
    </row>
    <row r="29" spans="1:19">
      <c r="D29" t="s">
        <v>5</v>
      </c>
      <c r="N29" s="1">
        <f>E1</f>
        <v>43692</v>
      </c>
      <c r="O29" t="s">
        <v>6</v>
      </c>
      <c r="S29" s="1">
        <v>43876</v>
      </c>
    </row>
    <row r="30" spans="1:19">
      <c r="D30" t="s">
        <v>3</v>
      </c>
    </row>
    <row r="31" spans="1:19">
      <c r="E31" t="s">
        <v>4</v>
      </c>
      <c r="G31">
        <f>(F17-N29)/(S29-N29)</f>
        <v>0.91847826086956519</v>
      </c>
      <c r="H31" t="s">
        <v>9</v>
      </c>
    </row>
    <row r="32" spans="1:19">
      <c r="E32" t="s">
        <v>7</v>
      </c>
      <c r="G32">
        <f>E21</f>
        <v>1.625</v>
      </c>
    </row>
    <row r="33" spans="1:12">
      <c r="E33" t="s">
        <v>8</v>
      </c>
      <c r="G33">
        <f>G31*G32</f>
        <v>1.4925271739130435</v>
      </c>
      <c r="H33" t="s">
        <v>10</v>
      </c>
    </row>
    <row r="35" spans="1:12">
      <c r="D35" t="s">
        <v>54</v>
      </c>
      <c r="L35">
        <f>D23-G33</f>
        <v>99.996053456134646</v>
      </c>
    </row>
    <row r="36" spans="1:12">
      <c r="A36" s="5" t="s">
        <v>55</v>
      </c>
    </row>
    <row r="37" spans="1:12">
      <c r="A37" s="5" t="s">
        <v>56</v>
      </c>
    </row>
    <row r="39" spans="1:12">
      <c r="A39" t="s">
        <v>57</v>
      </c>
    </row>
    <row r="40" spans="1:12">
      <c r="A40" t="s">
        <v>58</v>
      </c>
      <c r="H40" t="s">
        <v>59</v>
      </c>
      <c r="L40">
        <f>11/12</f>
        <v>0.91666666666666663</v>
      </c>
    </row>
    <row r="41" spans="1:12">
      <c r="H41" t="s">
        <v>60</v>
      </c>
      <c r="L41">
        <f>E21</f>
        <v>1.625</v>
      </c>
    </row>
    <row r="42" spans="1:12">
      <c r="H42" t="s">
        <v>61</v>
      </c>
      <c r="L42">
        <f>L40*L41</f>
        <v>1.4895833333333333</v>
      </c>
    </row>
    <row r="44" spans="1:12">
      <c r="H44" t="s">
        <v>62</v>
      </c>
      <c r="L44">
        <f>D23-L42</f>
        <v>99.998997296714364</v>
      </c>
    </row>
    <row r="47" spans="1:12">
      <c r="A47" t="s">
        <v>89</v>
      </c>
    </row>
    <row r="48" spans="1:12">
      <c r="A48" t="s">
        <v>90</v>
      </c>
    </row>
    <row r="51" spans="1:29">
      <c r="A51" t="s">
        <v>91</v>
      </c>
    </row>
    <row r="52" spans="1:29">
      <c r="B52" t="s">
        <v>92</v>
      </c>
      <c r="O52" t="s">
        <v>104</v>
      </c>
      <c r="P52">
        <v>6.5000000000000002E-2</v>
      </c>
    </row>
    <row r="53" spans="1:29">
      <c r="P53">
        <v>3.3000000000000002E-2</v>
      </c>
    </row>
    <row r="54" spans="1:29">
      <c r="A54" t="s">
        <v>93</v>
      </c>
    </row>
    <row r="55" spans="1:29">
      <c r="B55" t="s">
        <v>94</v>
      </c>
    </row>
    <row r="57" spans="1:29">
      <c r="B57" t="s">
        <v>95</v>
      </c>
    </row>
    <row r="58" spans="1:29">
      <c r="B58" t="s">
        <v>96</v>
      </c>
    </row>
    <row r="59" spans="1:29">
      <c r="T59" t="s">
        <v>53</v>
      </c>
      <c r="V59" s="1">
        <v>43504</v>
      </c>
      <c r="X59" t="s">
        <v>78</v>
      </c>
      <c r="Z59" s="1">
        <v>43327</v>
      </c>
    </row>
    <row r="60" spans="1:29">
      <c r="B60" t="s">
        <v>97</v>
      </c>
    </row>
    <row r="61" spans="1:29">
      <c r="C61" t="s">
        <v>98</v>
      </c>
      <c r="N61" t="s">
        <v>52</v>
      </c>
      <c r="U61" t="s">
        <v>102</v>
      </c>
      <c r="V61" s="1">
        <v>43511</v>
      </c>
      <c r="W61" s="1">
        <v>43692</v>
      </c>
      <c r="X61" s="1">
        <v>43879</v>
      </c>
      <c r="Y61" s="1">
        <v>44060</v>
      </c>
      <c r="Z61" s="1">
        <v>44243</v>
      </c>
      <c r="AA61" s="1">
        <v>44424</v>
      </c>
      <c r="AB61" s="1">
        <v>44607</v>
      </c>
      <c r="AC61" s="1">
        <v>44788</v>
      </c>
    </row>
    <row r="62" spans="1:29">
      <c r="C62" t="s">
        <v>99</v>
      </c>
      <c r="L62">
        <f>1/52</f>
        <v>1.9230769230769232E-2</v>
      </c>
      <c r="N62" t="s">
        <v>79</v>
      </c>
      <c r="U62" t="s">
        <v>101</v>
      </c>
      <c r="V62">
        <f>(V61-$V$59)/365.25</f>
        <v>1.9164955509924708E-2</v>
      </c>
      <c r="W62">
        <f t="shared" ref="W62:AC62" si="4">(W61-$V$59)/365.25</f>
        <v>0.51471594798083509</v>
      </c>
      <c r="X62">
        <f t="shared" si="4"/>
        <v>1.0266940451745379</v>
      </c>
      <c r="Y62">
        <f t="shared" si="4"/>
        <v>1.5222450376454484</v>
      </c>
      <c r="Z62">
        <f t="shared" si="4"/>
        <v>2.023271731690623</v>
      </c>
      <c r="AA62">
        <f t="shared" si="4"/>
        <v>2.5188227241615331</v>
      </c>
      <c r="AB62">
        <f t="shared" si="4"/>
        <v>3.0198494182067077</v>
      </c>
      <c r="AC62">
        <f t="shared" si="4"/>
        <v>3.5154004106776182</v>
      </c>
    </row>
    <row r="63" spans="1:29">
      <c r="C63" t="s">
        <v>100</v>
      </c>
      <c r="U63" t="s">
        <v>103</v>
      </c>
      <c r="V63">
        <f>50*$P$52</f>
        <v>3.25</v>
      </c>
      <c r="W63">
        <f t="shared" ref="W63:AB63" si="5">50*$P$52</f>
        <v>3.25</v>
      </c>
      <c r="X63">
        <f t="shared" si="5"/>
        <v>3.25</v>
      </c>
      <c r="Y63">
        <f t="shared" si="5"/>
        <v>3.25</v>
      </c>
      <c r="Z63">
        <f t="shared" si="5"/>
        <v>3.25</v>
      </c>
      <c r="AA63">
        <f t="shared" si="5"/>
        <v>3.25</v>
      </c>
      <c r="AB63">
        <f t="shared" si="5"/>
        <v>3.25</v>
      </c>
      <c r="AC63">
        <f>100*(1+P52/2)</f>
        <v>103.25</v>
      </c>
    </row>
    <row r="64" spans="1:29">
      <c r="D64" t="s">
        <v>102</v>
      </c>
      <c r="E64" s="1">
        <v>43511</v>
      </c>
      <c r="F64" s="1">
        <v>43692</v>
      </c>
      <c r="G64" s="1">
        <v>43876</v>
      </c>
      <c r="H64" s="1">
        <v>44058</v>
      </c>
      <c r="I64" s="1">
        <v>44242</v>
      </c>
      <c r="J64" s="1">
        <v>44423</v>
      </c>
      <c r="K64" s="1">
        <v>44607</v>
      </c>
      <c r="L64" s="1">
        <v>44788</v>
      </c>
      <c r="U64" t="s">
        <v>42</v>
      </c>
      <c r="V64">
        <f>1/(1+$P$53/2)^(2*V62)</f>
        <v>0.99937291413464269</v>
      </c>
      <c r="W64">
        <f t="shared" ref="W64:AC64" si="6">1/(1+$P$53/2)^(2*W62)</f>
        <v>0.98329409993344807</v>
      </c>
      <c r="X64">
        <f t="shared" si="6"/>
        <v>0.96695393355939119</v>
      </c>
      <c r="Y64">
        <f t="shared" si="6"/>
        <v>0.9513967052025688</v>
      </c>
      <c r="Z64">
        <f t="shared" si="6"/>
        <v>0.93592202125160795</v>
      </c>
      <c r="AA64">
        <f t="shared" si="6"/>
        <v>0.92086406233189722</v>
      </c>
      <c r="AB64">
        <f t="shared" si="6"/>
        <v>0.90588599876655218</v>
      </c>
      <c r="AC64">
        <f t="shared" si="6"/>
        <v>0.89131128650887281</v>
      </c>
    </row>
    <row r="65" spans="2:30">
      <c r="D65" t="s">
        <v>101</v>
      </c>
      <c r="E65">
        <f>L62</f>
        <v>1.9230769230769232E-2</v>
      </c>
      <c r="F65">
        <f>0.5+E65</f>
        <v>0.51923076923076927</v>
      </c>
      <c r="G65">
        <f t="shared" ref="G65:L65" si="7">0.5+F65</f>
        <v>1.0192307692307692</v>
      </c>
      <c r="H65">
        <f t="shared" si="7"/>
        <v>1.5192307692307692</v>
      </c>
      <c r="I65">
        <f t="shared" si="7"/>
        <v>2.0192307692307692</v>
      </c>
      <c r="J65">
        <f t="shared" si="7"/>
        <v>2.5192307692307692</v>
      </c>
      <c r="K65">
        <f t="shared" si="7"/>
        <v>3.0192307692307692</v>
      </c>
      <c r="L65">
        <f t="shared" si="7"/>
        <v>3.5192307692307692</v>
      </c>
      <c r="U65" t="s">
        <v>43</v>
      </c>
      <c r="V65">
        <f>V63*V64</f>
        <v>3.2479619709375886</v>
      </c>
      <c r="W65">
        <f t="shared" ref="W65" si="8">W63*W64</f>
        <v>3.1957058247837065</v>
      </c>
      <c r="X65">
        <f t="shared" ref="X65" si="9">X63*X64</f>
        <v>3.1426002840680214</v>
      </c>
      <c r="Y65">
        <f t="shared" ref="Y65" si="10">Y63*Y64</f>
        <v>3.0920392919083488</v>
      </c>
      <c r="Z65">
        <f t="shared" ref="Z65" si="11">Z63*Z64</f>
        <v>3.0417465690677257</v>
      </c>
      <c r="AA65">
        <f t="shared" ref="AA65" si="12">AA63*AA64</f>
        <v>2.992808202578666</v>
      </c>
      <c r="AB65">
        <f t="shared" ref="AB65" si="13">AB63*AB64</f>
        <v>2.9441294959912945</v>
      </c>
      <c r="AC65">
        <f t="shared" ref="AC65" si="14">AC63*AC64</f>
        <v>92.027890332041125</v>
      </c>
    </row>
    <row r="66" spans="2:30">
      <c r="D66" t="s">
        <v>103</v>
      </c>
      <c r="E66">
        <f>50*$P$52</f>
        <v>3.25</v>
      </c>
      <c r="F66">
        <f t="shared" ref="F66:K66" si="15">50*$P$52</f>
        <v>3.25</v>
      </c>
      <c r="G66">
        <f t="shared" si="15"/>
        <v>3.25</v>
      </c>
      <c r="H66">
        <f t="shared" si="15"/>
        <v>3.25</v>
      </c>
      <c r="I66">
        <f t="shared" si="15"/>
        <v>3.25</v>
      </c>
      <c r="J66">
        <f t="shared" si="15"/>
        <v>3.25</v>
      </c>
      <c r="K66">
        <f t="shared" si="15"/>
        <v>3.25</v>
      </c>
      <c r="L66">
        <f>100*(1+P52/2)</f>
        <v>103.25</v>
      </c>
      <c r="U66">
        <f>SUM(V65:AC65)</f>
        <v>113.68488197137648</v>
      </c>
    </row>
    <row r="67" spans="2:30">
      <c r="D67" t="s">
        <v>42</v>
      </c>
      <c r="E67">
        <f>1/(1+$P$53/2)^(2*E65)</f>
        <v>0.99937076135809522</v>
      </c>
      <c r="F67">
        <f t="shared" ref="F67:L67" si="16">1/(1+$P$53/2)^(2*F65)</f>
        <v>0.98314880605813593</v>
      </c>
      <c r="G67">
        <f t="shared" si="16"/>
        <v>0.96719016828149129</v>
      </c>
      <c r="H67">
        <f t="shared" si="16"/>
        <v>0.9514905738135675</v>
      </c>
      <c r="I67">
        <f t="shared" si="16"/>
        <v>0.93604581781954499</v>
      </c>
      <c r="J67">
        <f t="shared" si="16"/>
        <v>0.92085176371819488</v>
      </c>
      <c r="K67">
        <f t="shared" si="16"/>
        <v>0.9059043420739743</v>
      </c>
      <c r="L67">
        <f t="shared" si="16"/>
        <v>0.89119954950710711</v>
      </c>
    </row>
    <row r="68" spans="2:30">
      <c r="D68" t="s">
        <v>43</v>
      </c>
      <c r="E68">
        <f>E66*E67</f>
        <v>3.2479549744138096</v>
      </c>
      <c r="F68">
        <f t="shared" ref="F68:L68" si="17">F66*F67</f>
        <v>3.1952336196889419</v>
      </c>
      <c r="G68">
        <f t="shared" si="17"/>
        <v>3.1433680469148468</v>
      </c>
      <c r="H68">
        <f t="shared" si="17"/>
        <v>3.0923443648940943</v>
      </c>
      <c r="I68">
        <f t="shared" si="17"/>
        <v>3.0421489079135213</v>
      </c>
      <c r="J68">
        <f t="shared" si="17"/>
        <v>2.9927682320841336</v>
      </c>
      <c r="K68">
        <f t="shared" si="17"/>
        <v>2.9441891117404166</v>
      </c>
      <c r="L68">
        <f t="shared" si="17"/>
        <v>92.016353486608807</v>
      </c>
    </row>
    <row r="69" spans="2:30">
      <c r="D69">
        <f>SUM(E68:L68)</f>
        <v>113.67436074425856</v>
      </c>
    </row>
    <row r="71" spans="2:30">
      <c r="B71" t="s">
        <v>44</v>
      </c>
    </row>
    <row r="72" spans="2:30">
      <c r="C72" t="s">
        <v>45</v>
      </c>
      <c r="H72" t="s">
        <v>46</v>
      </c>
      <c r="M72">
        <v>0.5</v>
      </c>
      <c r="Y72" t="s">
        <v>46</v>
      </c>
      <c r="AD72">
        <f>V61-Z59</f>
        <v>184</v>
      </c>
    </row>
    <row r="73" spans="2:30">
      <c r="H73" t="s">
        <v>47</v>
      </c>
      <c r="M73">
        <f>M72-E65</f>
        <v>0.48076923076923078</v>
      </c>
      <c r="Y73" t="s">
        <v>47</v>
      </c>
      <c r="AD73">
        <f>V59-Z59</f>
        <v>177</v>
      </c>
    </row>
    <row r="74" spans="2:30">
      <c r="H74" t="s">
        <v>48</v>
      </c>
      <c r="M74">
        <f>M73/M72</f>
        <v>0.96153846153846156</v>
      </c>
      <c r="Y74" t="s">
        <v>48</v>
      </c>
      <c r="AD74">
        <f>AD73/AD72</f>
        <v>0.96195652173913049</v>
      </c>
    </row>
    <row r="75" spans="2:30">
      <c r="H75" t="s">
        <v>49</v>
      </c>
      <c r="M75">
        <f>E66</f>
        <v>3.25</v>
      </c>
      <c r="Y75" t="s">
        <v>49</v>
      </c>
      <c r="AD75">
        <f>V63</f>
        <v>3.25</v>
      </c>
    </row>
    <row r="76" spans="2:30">
      <c r="H76" t="s">
        <v>50</v>
      </c>
      <c r="M76">
        <f>M74*M75</f>
        <v>3.125</v>
      </c>
      <c r="Y76" t="s">
        <v>50</v>
      </c>
      <c r="AD76">
        <f>AD74*AD75</f>
        <v>3.1263586956521743</v>
      </c>
    </row>
    <row r="77" spans="2:30">
      <c r="C77" s="2" t="s">
        <v>51</v>
      </c>
      <c r="J77" s="2">
        <f>D69-M76</f>
        <v>110.54936074425856</v>
      </c>
      <c r="T77" s="2" t="s">
        <v>51</v>
      </c>
      <c r="AA77" s="2">
        <f>U66-AD76</f>
        <v>110.55852327572431</v>
      </c>
    </row>
  </sheetData>
  <phoneticPr fontId="3"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Basics</vt:lpstr>
      <vt:lpstr>Quiz Assumpt</vt:lpstr>
    </vt:vector>
  </TitlesOfParts>
  <Company>University of Arizona</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Lamoureux</dc:creator>
  <cp:lastModifiedBy>Chris Lamoureux</cp:lastModifiedBy>
  <dcterms:created xsi:type="dcterms:W3CDTF">2019-04-24T23:59:50Z</dcterms:created>
  <dcterms:modified xsi:type="dcterms:W3CDTF">2019-08-20T18:34:30Z</dcterms:modified>
</cp:coreProperties>
</file>