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amlap/classes/542/2019/xl/"/>
    </mc:Choice>
  </mc:AlternateContent>
  <xr:revisionPtr revIDLastSave="0" documentId="13_ncr:1_{3BDA1928-AD12-1341-960F-62B273BCCD75}" xr6:coauthVersionLast="45" xr6:coauthVersionMax="45" xr10:uidLastSave="{00000000-0000-0000-0000-000000000000}"/>
  <bookViews>
    <workbookView xWindow="480" yWindow="460" windowWidth="30340" windowHeight="18480" activeTab="1" xr2:uid="{00000000-000D-0000-FFFF-FFFF00000000}"/>
  </bookViews>
  <sheets>
    <sheet name="Basics" sheetId="1" r:id="rId1"/>
    <sheet name="Exercise Key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51" i="1" l="1"/>
  <c r="O38" i="2"/>
  <c r="P18" i="2"/>
  <c r="C36" i="2"/>
  <c r="F35" i="2"/>
  <c r="F32" i="2"/>
  <c r="G32" i="2"/>
  <c r="G33" i="2" s="1"/>
  <c r="H32" i="2"/>
  <c r="I32" i="2"/>
  <c r="J32" i="2"/>
  <c r="K32" i="2"/>
  <c r="L32" i="2"/>
  <c r="M32" i="2"/>
  <c r="N32" i="2"/>
  <c r="O32" i="2"/>
  <c r="P32" i="2"/>
  <c r="Q32" i="2"/>
  <c r="R32" i="2"/>
  <c r="S32" i="2"/>
  <c r="S33" i="2" s="1"/>
  <c r="T32" i="2"/>
  <c r="T33" i="2" s="1"/>
  <c r="U32" i="2"/>
  <c r="U33" i="2" s="1"/>
  <c r="V32" i="2"/>
  <c r="W32" i="2"/>
  <c r="W33" i="2" s="1"/>
  <c r="X32" i="2"/>
  <c r="F33" i="2"/>
  <c r="H33" i="2"/>
  <c r="I33" i="2"/>
  <c r="J33" i="2"/>
  <c r="K33" i="2"/>
  <c r="L33" i="2"/>
  <c r="M33" i="2"/>
  <c r="N33" i="2"/>
  <c r="O33" i="2"/>
  <c r="P33" i="2"/>
  <c r="Q33" i="2"/>
  <c r="R33" i="2"/>
  <c r="V33" i="2"/>
  <c r="X33" i="2"/>
  <c r="E33" i="2"/>
  <c r="E32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E31" i="2"/>
  <c r="G21" i="2"/>
  <c r="O10" i="2"/>
  <c r="O11" i="2" s="1"/>
  <c r="X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E9" i="2"/>
  <c r="E5" i="2"/>
  <c r="O2" i="2"/>
  <c r="E24" i="2" s="1"/>
  <c r="K2" i="2"/>
  <c r="P10" i="2" s="1"/>
  <c r="P11" i="2" s="1"/>
  <c r="H2" i="2"/>
  <c r="F46" i="1"/>
  <c r="F45" i="1"/>
  <c r="F43" i="1"/>
  <c r="H42" i="1"/>
  <c r="I42" i="1"/>
  <c r="J42" i="1"/>
  <c r="K42" i="1"/>
  <c r="L42" i="1"/>
  <c r="M42" i="1"/>
  <c r="N42" i="1"/>
  <c r="O42" i="1"/>
  <c r="P42" i="1"/>
  <c r="G42" i="1"/>
  <c r="H41" i="1"/>
  <c r="I41" i="1"/>
  <c r="J41" i="1"/>
  <c r="K41" i="1"/>
  <c r="L41" i="1"/>
  <c r="M41" i="1"/>
  <c r="N41" i="1"/>
  <c r="O41" i="1"/>
  <c r="P41" i="1"/>
  <c r="G41" i="1"/>
  <c r="P40" i="1"/>
  <c r="H40" i="1"/>
  <c r="I40" i="1"/>
  <c r="J40" i="1"/>
  <c r="K40" i="1"/>
  <c r="L40" i="1"/>
  <c r="M40" i="1"/>
  <c r="N40" i="1"/>
  <c r="O40" i="1"/>
  <c r="G40" i="1"/>
  <c r="G37" i="1"/>
  <c r="G36" i="1"/>
  <c r="G35" i="1"/>
  <c r="G32" i="1"/>
  <c r="E31" i="1"/>
  <c r="F25" i="1"/>
  <c r="D34" i="2" l="1"/>
  <c r="W11" i="2"/>
  <c r="V11" i="2"/>
  <c r="J11" i="2"/>
  <c r="E11" i="2"/>
  <c r="G11" i="2"/>
  <c r="X11" i="2"/>
  <c r="F10" i="2"/>
  <c r="F11" i="2" s="1"/>
  <c r="K10" i="2"/>
  <c r="K11" i="2" s="1"/>
  <c r="J10" i="2"/>
  <c r="E10" i="2"/>
  <c r="H10" i="2"/>
  <c r="H11" i="2" s="1"/>
  <c r="W10" i="2"/>
  <c r="V10" i="2"/>
  <c r="M10" i="2"/>
  <c r="M11" i="2" s="1"/>
  <c r="I10" i="2"/>
  <c r="I11" i="2" s="1"/>
  <c r="X10" i="2"/>
  <c r="G10" i="2"/>
  <c r="U10" i="2"/>
  <c r="U11" i="2" s="1"/>
  <c r="T10" i="2"/>
  <c r="T11" i="2" s="1"/>
  <c r="E25" i="2"/>
  <c r="E26" i="2" s="1"/>
  <c r="F27" i="2" s="1"/>
  <c r="N10" i="2"/>
  <c r="N11" i="2" s="1"/>
  <c r="S10" i="2"/>
  <c r="S11" i="2" s="1"/>
  <c r="L10" i="2"/>
  <c r="L11" i="2" s="1"/>
  <c r="R10" i="2"/>
  <c r="R11" i="2" s="1"/>
  <c r="Q10" i="2"/>
  <c r="Q11" i="2" s="1"/>
  <c r="H3" i="1"/>
  <c r="G13" i="1"/>
  <c r="H13" i="1"/>
  <c r="D12" i="1"/>
  <c r="E12" i="1"/>
  <c r="E13" i="1" s="1"/>
  <c r="F12" i="1"/>
  <c r="F13" i="1" s="1"/>
  <c r="G12" i="1"/>
  <c r="H12" i="1"/>
  <c r="I12" i="1"/>
  <c r="I13" i="1" s="1"/>
  <c r="J12" i="1"/>
  <c r="K12" i="1"/>
  <c r="L12" i="1"/>
  <c r="C12" i="1"/>
  <c r="C13" i="1" s="1"/>
  <c r="L11" i="1"/>
  <c r="L13" i="1" s="1"/>
  <c r="D11" i="1"/>
  <c r="D13" i="1" s="1"/>
  <c r="E11" i="1"/>
  <c r="F11" i="1"/>
  <c r="G11" i="1"/>
  <c r="H11" i="1"/>
  <c r="I11" i="1"/>
  <c r="J11" i="1"/>
  <c r="J13" i="1" s="1"/>
  <c r="K11" i="1"/>
  <c r="K13" i="1" s="1"/>
  <c r="C11" i="1"/>
  <c r="C7" i="1"/>
  <c r="F20" i="1" s="1"/>
  <c r="D12" i="2" l="1"/>
  <c r="U14" i="2" s="1"/>
  <c r="U15" i="2" s="1"/>
  <c r="B14" i="1"/>
  <c r="L15" i="1" s="1"/>
  <c r="L16" i="1" s="1"/>
  <c r="R14" i="2" l="1"/>
  <c r="R15" i="2" s="1"/>
  <c r="S14" i="2"/>
  <c r="S15" i="2" s="1"/>
  <c r="V14" i="2"/>
  <c r="V15" i="2" s="1"/>
  <c r="P14" i="2"/>
  <c r="P15" i="2" s="1"/>
  <c r="O14" i="2"/>
  <c r="O15" i="2" s="1"/>
  <c r="M14" i="2"/>
  <c r="M15" i="2" s="1"/>
  <c r="K14" i="2"/>
  <c r="K15" i="2" s="1"/>
  <c r="Q14" i="2"/>
  <c r="Q15" i="2" s="1"/>
  <c r="I14" i="2"/>
  <c r="I15" i="2" s="1"/>
  <c r="L14" i="2"/>
  <c r="L15" i="2" s="1"/>
  <c r="E14" i="2"/>
  <c r="N14" i="2"/>
  <c r="N15" i="2" s="1"/>
  <c r="W14" i="2"/>
  <c r="W15" i="2" s="1"/>
  <c r="H14" i="2"/>
  <c r="H15" i="2" s="1"/>
  <c r="J14" i="2"/>
  <c r="J15" i="2" s="1"/>
  <c r="T14" i="2"/>
  <c r="T15" i="2" s="1"/>
  <c r="X14" i="2"/>
  <c r="X15" i="2" s="1"/>
  <c r="G14" i="2"/>
  <c r="G15" i="2" s="1"/>
  <c r="F14" i="2"/>
  <c r="F15" i="2" s="1"/>
  <c r="C15" i="1"/>
  <c r="H15" i="1"/>
  <c r="H16" i="1" s="1"/>
  <c r="K15" i="1"/>
  <c r="K16" i="1" s="1"/>
  <c r="G15" i="1"/>
  <c r="G16" i="1" s="1"/>
  <c r="J15" i="1"/>
  <c r="J16" i="1" s="1"/>
  <c r="F15" i="1"/>
  <c r="F16" i="1" s="1"/>
  <c r="I15" i="1"/>
  <c r="I16" i="1" s="1"/>
  <c r="D15" i="1"/>
  <c r="D16" i="1" s="1"/>
  <c r="E15" i="1"/>
  <c r="E16" i="1" s="1"/>
  <c r="E15" i="2" l="1"/>
  <c r="D16" i="2" s="1"/>
  <c r="E17" i="2" s="1"/>
  <c r="G18" i="2" s="1"/>
  <c r="Z14" i="2"/>
  <c r="C16" i="1"/>
  <c r="B17" i="1" s="1"/>
  <c r="F19" i="1" s="1"/>
  <c r="F21" i="1" s="1"/>
  <c r="N15" i="1"/>
</calcChain>
</file>

<file path=xl/sharedStrings.xml><?xml version="1.0" encoding="utf-8"?>
<sst xmlns="http://schemas.openxmlformats.org/spreadsheetml/2006/main" count="90" uniqueCount="73">
  <si>
    <t>DV01 of Swap:</t>
  </si>
  <si>
    <t>Notional Principal</t>
  </si>
  <si>
    <t xml:space="preserve"> swap rate</t>
  </si>
  <si>
    <t>On issue date.</t>
  </si>
  <si>
    <t xml:space="preserve"> We obtain DV01 by isolating the duration of the fixed and floating legs -- both initially valued at par.</t>
  </si>
  <si>
    <t>Floating leg duration:</t>
  </si>
  <si>
    <t xml:space="preserve">Fixed leg </t>
  </si>
  <si>
    <t>Receive Fixed Pay Floating</t>
  </si>
  <si>
    <t>Term:</t>
  </si>
  <si>
    <t>5-year Plain vanilla</t>
  </si>
  <si>
    <t>CF:</t>
  </si>
  <si>
    <t xml:space="preserve">  (We know that the ytm = coupon rate, as the latter is set to make the swap sell at par)</t>
  </si>
  <si>
    <t>df(@ytm)</t>
  </si>
  <si>
    <t>PV:</t>
  </si>
  <si>
    <t>wt:</t>
  </si>
  <si>
    <t xml:space="preserve">  Verify:</t>
  </si>
  <si>
    <t>wt * D:</t>
  </si>
  <si>
    <t>So the DV01 of the long position in the fixed leg</t>
  </si>
  <si>
    <t xml:space="preserve">   and the short position in the floating leg:</t>
  </si>
  <si>
    <t>So the Swap DV01 is:</t>
  </si>
  <si>
    <t>expressed on a cc basis:</t>
  </si>
  <si>
    <t>In this case we have a complete pricing model for valuing the position.  We can always compute DV01 (even when we don't have a model) numerically.</t>
  </si>
  <si>
    <t xml:space="preserve">   Simply evaluate the value after increasing the cc yield by 1 bp.</t>
  </si>
  <si>
    <t>Increment to ccytm:</t>
  </si>
  <si>
    <t xml:space="preserve">  New ccytm:</t>
  </si>
  <si>
    <t>Value of floater:</t>
  </si>
  <si>
    <t>At next reset date:</t>
  </si>
  <si>
    <t>The floater will be worth par plus we will receive the first cash flow.</t>
  </si>
  <si>
    <t>To approximate the value of the first cash flow, we will use the cc ytm but we need it on a quarterly-compounded basis.</t>
  </si>
  <si>
    <t>So the interest payment in 1 quarter will be:</t>
  </si>
  <si>
    <t xml:space="preserve">  And the value of the floater after a 1 bp increase in ytm:</t>
  </si>
  <si>
    <t xml:space="preserve">  </t>
  </si>
  <si>
    <t>Time:</t>
  </si>
  <si>
    <t>df:</t>
  </si>
  <si>
    <t>Similarly the value of the fixed leg:</t>
  </si>
  <si>
    <t>Implying the swap value:</t>
  </si>
  <si>
    <t xml:space="preserve">  So our numerical DV01 is:</t>
  </si>
  <si>
    <t>Note that the numerical DV01 is less than the first-order DV01.  This is because of the convexity of the long position.  Since the value of the long is not a linear function of the ytm, the first derivative overstates the effect of a change in ytm on its value.</t>
  </si>
  <si>
    <t>We cannot compute the duration of a swap since its value is 0.  In general for convergence trades or 0/low initial investment positions, DV01 is the preferred measure of first-order risk.</t>
  </si>
  <si>
    <t>10-year plain vanilla swap on initial date.</t>
  </si>
  <si>
    <t>Bond-equivalent swap rate:</t>
  </si>
  <si>
    <t xml:space="preserve">  implied EA ytm:</t>
  </si>
  <si>
    <t xml:space="preserve">  Implied cc ytm:</t>
  </si>
  <si>
    <t xml:space="preserve">  Implied qtrly compounded ytm:</t>
  </si>
  <si>
    <t>First-order approximation to DV01:</t>
  </si>
  <si>
    <t xml:space="preserve"> notional principal</t>
  </si>
  <si>
    <t>The DV01 of the floating leg:</t>
  </si>
  <si>
    <t>DV01 of the fixed leg:</t>
  </si>
  <si>
    <t>CF</t>
  </si>
  <si>
    <t>df(@ytm):</t>
  </si>
  <si>
    <t>PV</t>
  </si>
  <si>
    <t xml:space="preserve">  (If we did not get par here, then we would know that there is a mistake somewhere.)</t>
  </si>
  <si>
    <t xml:space="preserve">  If this is not 1 we know there is a mistake somewhere.</t>
  </si>
  <si>
    <t>wt*D:</t>
  </si>
  <si>
    <t>So the first-order approximation of the DV01 of the Swap is:</t>
  </si>
  <si>
    <t>Numerical evaluation:</t>
  </si>
  <si>
    <t>Floating Leg:</t>
  </si>
  <si>
    <t>New cc ytm:</t>
  </si>
  <si>
    <t>Numerical DV01 of floater:</t>
  </si>
  <si>
    <t>Fixed Leg:</t>
  </si>
  <si>
    <t>Numerical DV01 of bond:</t>
  </si>
  <si>
    <t>Numerical Swap DV01:</t>
  </si>
  <si>
    <t>For the receive floating / pay fixed swap the first-order approximation DV01 is:</t>
  </si>
  <si>
    <t xml:space="preserve">  This is smaller than the 1st-order approximation since we are long convexity.</t>
  </si>
  <si>
    <t>For the receive floating / pay fixed swap the numerical DV01 is:</t>
  </si>
  <si>
    <t xml:space="preserve">  This is smaller than the 1st-order approximation, because we are short convexity in this swap.</t>
  </si>
  <si>
    <t>Of course the DV01 of the receive fixed, pay floating must equal the negative of the companion pay fixed receive floating, since the swap is a 0-sum game between the 2 counterparties.</t>
  </si>
  <si>
    <t>Exercise:</t>
  </si>
  <si>
    <t>Evaluate the DV01 of the following plain vanilla interest rate swap: Notional Principal:</t>
  </si>
  <si>
    <t xml:space="preserve">  swap rate in bond-equivalent terms:</t>
  </si>
  <si>
    <t xml:space="preserve">  10-year term.  Index: 90-day Libor with 90-day tenor.</t>
  </si>
  <si>
    <t xml:space="preserve"> --- Use both the 1st-order approximation and numerical evaluation methods.</t>
  </si>
  <si>
    <t>Show the DV01 for both counterparties of the swap.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</si>
</sst>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3" fontId="0" fillId="0" borderId="0" xfId="0" applyNumberFormat="1"/>
    <xf numFmtId="4" fontId="0" fillId="0" borderId="0" xfId="0" applyNumberFormat="1"/>
    <xf numFmtId="0" fontId="1" fillId="0" borderId="0" xfId="0" applyFont="1"/>
    <xf numFmtId="10" fontId="0" fillId="0" borderId="0" xfId="0" applyNumberFormat="1"/>
    <xf numFmtId="3" fontId="1" fillId="0" borderId="0" xfId="0" applyNumberFormat="1" applyFont="1"/>
    <xf numFmtId="4" fontId="1" fillId="0" borderId="0" xfId="0" applyNumberFormat="1" applyFon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3"/>
  <sheetViews>
    <sheetView topLeftCell="A20" workbookViewId="0">
      <selection activeCell="B54" sqref="B54"/>
    </sheetView>
  </sheetViews>
  <sheetFormatPr baseColWidth="10" defaultColWidth="8.83203125" defaultRowHeight="15" x14ac:dyDescent="0.2"/>
  <cols>
    <col min="2" max="2" width="10.1640625" bestFit="1" customWidth="1"/>
    <col min="5" max="5" width="12" customWidth="1"/>
    <col min="9" max="9" width="10.1640625" bestFit="1" customWidth="1"/>
    <col min="12" max="12" width="12.6640625" bestFit="1" customWidth="1"/>
  </cols>
  <sheetData>
    <row r="1" spans="1:14" x14ac:dyDescent="0.2">
      <c r="A1" t="s">
        <v>0</v>
      </c>
    </row>
    <row r="2" spans="1:14" x14ac:dyDescent="0.2">
      <c r="B2" s="1">
        <v>10000000</v>
      </c>
      <c r="C2" t="s">
        <v>1</v>
      </c>
      <c r="E2" t="s">
        <v>9</v>
      </c>
    </row>
    <row r="3" spans="1:14" x14ac:dyDescent="0.2">
      <c r="B3">
        <v>1.4486489999999999E-2</v>
      </c>
      <c r="C3" t="s">
        <v>2</v>
      </c>
      <c r="E3" t="s">
        <v>20</v>
      </c>
      <c r="H3">
        <f>LN((1+B3/2)^2)</f>
        <v>1.443427737615542E-2</v>
      </c>
    </row>
    <row r="4" spans="1:14" x14ac:dyDescent="0.2">
      <c r="B4" t="s">
        <v>7</v>
      </c>
    </row>
    <row r="5" spans="1:14" x14ac:dyDescent="0.2">
      <c r="A5" t="s">
        <v>3</v>
      </c>
    </row>
    <row r="6" spans="1:14" x14ac:dyDescent="0.2">
      <c r="A6" t="s">
        <v>4</v>
      </c>
    </row>
    <row r="7" spans="1:14" x14ac:dyDescent="0.2">
      <c r="A7" t="s">
        <v>5</v>
      </c>
      <c r="C7" s="3">
        <f>3/12</f>
        <v>0.25</v>
      </c>
    </row>
    <row r="9" spans="1:14" x14ac:dyDescent="0.2">
      <c r="A9" t="s">
        <v>6</v>
      </c>
      <c r="B9" t="s">
        <v>11</v>
      </c>
    </row>
    <row r="10" spans="1:14" x14ac:dyDescent="0.2">
      <c r="B10" t="s">
        <v>8</v>
      </c>
      <c r="C10">
        <v>0.5</v>
      </c>
      <c r="D10">
        <v>1</v>
      </c>
      <c r="E10">
        <v>1.5</v>
      </c>
      <c r="F10">
        <v>2</v>
      </c>
      <c r="G10">
        <v>2.5</v>
      </c>
      <c r="H10">
        <v>3</v>
      </c>
      <c r="I10">
        <v>3.5</v>
      </c>
      <c r="J10">
        <v>4</v>
      </c>
      <c r="K10">
        <v>4.5</v>
      </c>
      <c r="L10">
        <v>5</v>
      </c>
    </row>
    <row r="11" spans="1:14" x14ac:dyDescent="0.2">
      <c r="B11" t="s">
        <v>10</v>
      </c>
      <c r="C11" s="2">
        <f>$B$3/2*$B$2</f>
        <v>72432.45</v>
      </c>
      <c r="D11" s="2">
        <f t="shared" ref="D11:K11" si="0">$B$3/2*$B$2</f>
        <v>72432.45</v>
      </c>
      <c r="E11" s="2">
        <f t="shared" si="0"/>
        <v>72432.45</v>
      </c>
      <c r="F11" s="2">
        <f t="shared" si="0"/>
        <v>72432.45</v>
      </c>
      <c r="G11" s="2">
        <f t="shared" si="0"/>
        <v>72432.45</v>
      </c>
      <c r="H11" s="2">
        <f t="shared" si="0"/>
        <v>72432.45</v>
      </c>
      <c r="I11" s="2">
        <f t="shared" si="0"/>
        <v>72432.45</v>
      </c>
      <c r="J11" s="2">
        <f t="shared" si="0"/>
        <v>72432.45</v>
      </c>
      <c r="K11" s="2">
        <f t="shared" si="0"/>
        <v>72432.45</v>
      </c>
      <c r="L11" s="2">
        <f>B2*(1+B3/2)</f>
        <v>10072432.449999999</v>
      </c>
    </row>
    <row r="12" spans="1:14" x14ac:dyDescent="0.2">
      <c r="B12" t="s">
        <v>12</v>
      </c>
      <c r="C12">
        <f>1/(1+$B$3/2)^(2*C10)</f>
        <v>0.99280884231693212</v>
      </c>
      <c r="D12">
        <f t="shared" ref="D12:L12" si="1">1/(1+$B$3/2)^(2*D10)</f>
        <v>0.98566939738268688</v>
      </c>
      <c r="E12">
        <f t="shared" si="1"/>
        <v>0.97858129332273358</v>
      </c>
      <c r="F12">
        <f t="shared" si="1"/>
        <v>0.97154416093674922</v>
      </c>
      <c r="G12">
        <f t="shared" si="1"/>
        <v>0.96455763367938918</v>
      </c>
      <c r="H12">
        <f t="shared" si="1"/>
        <v>0.95762134764119378</v>
      </c>
      <c r="I12">
        <f t="shared" si="1"/>
        <v>0.950734941529634</v>
      </c>
      <c r="J12">
        <f t="shared" si="1"/>
        <v>0.94389805665029203</v>
      </c>
      <c r="K12">
        <f t="shared" si="1"/>
        <v>0.93711033688817835</v>
      </c>
      <c r="L12">
        <f t="shared" si="1"/>
        <v>0.93037142868918266</v>
      </c>
    </row>
    <row r="13" spans="1:14" x14ac:dyDescent="0.2">
      <c r="B13" t="s">
        <v>13</v>
      </c>
      <c r="C13">
        <f>C11*C12</f>
        <v>71911.576830679071</v>
      </c>
      <c r="D13">
        <f t="shared" ref="D13:L13" si="2">D11*D12</f>
        <v>71394.449342451597</v>
      </c>
      <c r="E13">
        <f t="shared" si="2"/>
        <v>70881.04059953423</v>
      </c>
      <c r="F13">
        <f t="shared" si="2"/>
        <v>70371.323859843033</v>
      </c>
      <c r="G13">
        <f t="shared" si="2"/>
        <v>69865.272573600669</v>
      </c>
      <c r="H13">
        <f t="shared" si="2"/>
        <v>69362.860381953389</v>
      </c>
      <c r="I13">
        <f t="shared" si="2"/>
        <v>68864.061115598131</v>
      </c>
      <c r="J13">
        <f t="shared" si="2"/>
        <v>68368.848793419442</v>
      </c>
      <c r="K13">
        <f t="shared" si="2"/>
        <v>67877.197621136133</v>
      </c>
      <c r="L13">
        <f t="shared" si="2"/>
        <v>9371103.3688817844</v>
      </c>
    </row>
    <row r="14" spans="1:14" x14ac:dyDescent="0.2">
      <c r="B14" s="1">
        <f>SUM(C13:L13)</f>
        <v>10000000</v>
      </c>
    </row>
    <row r="15" spans="1:14" x14ac:dyDescent="0.2">
      <c r="B15" t="s">
        <v>14</v>
      </c>
      <c r="C15">
        <f>C13/$B$14</f>
        <v>7.191157683067907E-3</v>
      </c>
      <c r="D15">
        <f t="shared" ref="D15:L15" si="3">D13/$B$14</f>
        <v>7.1394449342451595E-3</v>
      </c>
      <c r="E15">
        <f t="shared" si="3"/>
        <v>7.0881040599534229E-3</v>
      </c>
      <c r="F15">
        <f t="shared" si="3"/>
        <v>7.0371323859843033E-3</v>
      </c>
      <c r="G15">
        <f t="shared" si="3"/>
        <v>6.9865272573600666E-3</v>
      </c>
      <c r="H15">
        <f t="shared" si="3"/>
        <v>6.9362860381953391E-3</v>
      </c>
      <c r="I15">
        <f t="shared" si="3"/>
        <v>6.8864061115598129E-3</v>
      </c>
      <c r="J15">
        <f t="shared" si="3"/>
        <v>6.8368848793419444E-3</v>
      </c>
      <c r="K15">
        <f t="shared" si="3"/>
        <v>6.7877197621136129E-3</v>
      </c>
      <c r="L15">
        <f t="shared" si="3"/>
        <v>0.93711033688817846</v>
      </c>
      <c r="M15" t="s">
        <v>15</v>
      </c>
      <c r="N15">
        <f>SUM(C15:L15)</f>
        <v>1</v>
      </c>
    </row>
    <row r="16" spans="1:14" x14ac:dyDescent="0.2">
      <c r="B16" t="s">
        <v>16</v>
      </c>
      <c r="C16">
        <f>C10*C15</f>
        <v>3.5955788415339535E-3</v>
      </c>
      <c r="D16">
        <f t="shared" ref="D16:L16" si="4">D10*D15</f>
        <v>7.1394449342451595E-3</v>
      </c>
      <c r="E16">
        <f t="shared" si="4"/>
        <v>1.0632156089930135E-2</v>
      </c>
      <c r="F16">
        <f t="shared" si="4"/>
        <v>1.4074264771968607E-2</v>
      </c>
      <c r="G16">
        <f t="shared" si="4"/>
        <v>1.7466318143400168E-2</v>
      </c>
      <c r="H16">
        <f t="shared" si="4"/>
        <v>2.0808858114586017E-2</v>
      </c>
      <c r="I16">
        <f t="shared" si="4"/>
        <v>2.4102421390459344E-2</v>
      </c>
      <c r="J16">
        <f t="shared" si="4"/>
        <v>2.7347539517367778E-2</v>
      </c>
      <c r="K16">
        <f t="shared" si="4"/>
        <v>3.0544738929511258E-2</v>
      </c>
      <c r="L16">
        <f t="shared" si="4"/>
        <v>4.6855516844408927</v>
      </c>
    </row>
    <row r="17" spans="1:8" x14ac:dyDescent="0.2">
      <c r="B17" s="3">
        <f>SUM(C16:L16)</f>
        <v>4.8412630051738947</v>
      </c>
    </row>
    <row r="19" spans="1:8" x14ac:dyDescent="0.2">
      <c r="A19" t="s">
        <v>17</v>
      </c>
      <c r="F19">
        <f>-B17/10000*B2</f>
        <v>-4841.2630051738952</v>
      </c>
    </row>
    <row r="20" spans="1:8" x14ac:dyDescent="0.2">
      <c r="A20" t="s">
        <v>18</v>
      </c>
      <c r="F20">
        <f>C7/10000*B2</f>
        <v>250</v>
      </c>
    </row>
    <row r="21" spans="1:8" x14ac:dyDescent="0.2">
      <c r="A21" t="s">
        <v>19</v>
      </c>
      <c r="F21" s="3">
        <f>F19+F20</f>
        <v>-4591.2630051738952</v>
      </c>
      <c r="H21" t="s">
        <v>38</v>
      </c>
    </row>
    <row r="23" spans="1:8" x14ac:dyDescent="0.2">
      <c r="A23" t="s">
        <v>21</v>
      </c>
    </row>
    <row r="24" spans="1:8" x14ac:dyDescent="0.2">
      <c r="A24" t="s">
        <v>22</v>
      </c>
    </row>
    <row r="25" spans="1:8" x14ac:dyDescent="0.2">
      <c r="A25" t="s">
        <v>23</v>
      </c>
      <c r="C25">
        <v>1E-4</v>
      </c>
      <c r="D25" t="s">
        <v>24</v>
      </c>
      <c r="F25">
        <f>H3+C25</f>
        <v>1.4534277376155419E-2</v>
      </c>
    </row>
    <row r="28" spans="1:8" x14ac:dyDescent="0.2">
      <c r="A28" t="s">
        <v>25</v>
      </c>
    </row>
    <row r="29" spans="1:8" x14ac:dyDescent="0.2">
      <c r="C29" t="s">
        <v>26</v>
      </c>
      <c r="E29" t="s">
        <v>27</v>
      </c>
    </row>
    <row r="30" spans="1:8" x14ac:dyDescent="0.2">
      <c r="E30" t="s">
        <v>28</v>
      </c>
    </row>
    <row r="31" spans="1:8" x14ac:dyDescent="0.2">
      <c r="E31">
        <f>4*((EXP(H3))^(1/4)-1)</f>
        <v>1.4460352276504551E-2</v>
      </c>
      <c r="F31" t="s">
        <v>31</v>
      </c>
    </row>
    <row r="32" spans="1:8" x14ac:dyDescent="0.2">
      <c r="C32" t="s">
        <v>29</v>
      </c>
      <c r="G32">
        <f>E31/4*100</f>
        <v>0.36150880691261378</v>
      </c>
    </row>
    <row r="33" spans="3:16" x14ac:dyDescent="0.2">
      <c r="C33" t="s">
        <v>30</v>
      </c>
    </row>
    <row r="34" spans="3:16" x14ac:dyDescent="0.2">
      <c r="F34" t="s">
        <v>32</v>
      </c>
      <c r="G34">
        <v>0.25</v>
      </c>
    </row>
    <row r="35" spans="3:16" x14ac:dyDescent="0.2">
      <c r="F35" t="s">
        <v>10</v>
      </c>
      <c r="G35">
        <f>100+G32</f>
        <v>100.36150880691261</v>
      </c>
    </row>
    <row r="36" spans="3:16" x14ac:dyDescent="0.2">
      <c r="F36" t="s">
        <v>33</v>
      </c>
      <c r="G36">
        <f>EXP(-0.25*F25)</f>
        <v>0.99637302408074391</v>
      </c>
    </row>
    <row r="37" spans="3:16" x14ac:dyDescent="0.2">
      <c r="F37" t="s">
        <v>13</v>
      </c>
      <c r="G37">
        <f>G35*G36</f>
        <v>99.997500031249729</v>
      </c>
    </row>
    <row r="38" spans="3:16" x14ac:dyDescent="0.2">
      <c r="C38" t="s">
        <v>34</v>
      </c>
    </row>
    <row r="39" spans="3:16" x14ac:dyDescent="0.2">
      <c r="F39" t="s">
        <v>32</v>
      </c>
      <c r="G39">
        <v>0.5</v>
      </c>
      <c r="H39">
        <v>1</v>
      </c>
      <c r="I39">
        <v>1.5</v>
      </c>
      <c r="J39">
        <v>2</v>
      </c>
      <c r="K39">
        <v>2.5</v>
      </c>
      <c r="L39">
        <v>3</v>
      </c>
      <c r="M39">
        <v>3.5</v>
      </c>
      <c r="N39">
        <v>4</v>
      </c>
      <c r="O39">
        <v>4.5</v>
      </c>
      <c r="P39">
        <v>5</v>
      </c>
    </row>
    <row r="40" spans="3:16" x14ac:dyDescent="0.2">
      <c r="F40" t="s">
        <v>10</v>
      </c>
      <c r="G40">
        <f>50*$B$3</f>
        <v>0.72432449999999993</v>
      </c>
      <c r="H40">
        <f t="shared" ref="H40:O40" si="5">50*$B$3</f>
        <v>0.72432449999999993</v>
      </c>
      <c r="I40">
        <f t="shared" si="5"/>
        <v>0.72432449999999993</v>
      </c>
      <c r="J40">
        <f t="shared" si="5"/>
        <v>0.72432449999999993</v>
      </c>
      <c r="K40">
        <f t="shared" si="5"/>
        <v>0.72432449999999993</v>
      </c>
      <c r="L40">
        <f t="shared" si="5"/>
        <v>0.72432449999999993</v>
      </c>
      <c r="M40">
        <f t="shared" si="5"/>
        <v>0.72432449999999993</v>
      </c>
      <c r="N40">
        <f t="shared" si="5"/>
        <v>0.72432449999999993</v>
      </c>
      <c r="O40">
        <f t="shared" si="5"/>
        <v>0.72432449999999993</v>
      </c>
      <c r="P40">
        <f>100*(1+B3/2)</f>
        <v>100.72432449999999</v>
      </c>
    </row>
    <row r="41" spans="3:16" x14ac:dyDescent="0.2">
      <c r="F41" t="s">
        <v>33</v>
      </c>
      <c r="G41">
        <f>EXP(-G39*$F$25)</f>
        <v>0.99275920311580657</v>
      </c>
      <c r="H41">
        <f t="shared" ref="H41:P41" si="6">EXP(-H39*$F$25)</f>
        <v>0.98557083537113133</v>
      </c>
      <c r="I41">
        <f t="shared" si="6"/>
        <v>0.97843451713722418</v>
      </c>
      <c r="J41">
        <f t="shared" si="6"/>
        <v>0.97134987153414976</v>
      </c>
      <c r="K41">
        <f t="shared" si="6"/>
        <v>0.96431652441088356</v>
      </c>
      <c r="L41">
        <f t="shared" si="6"/>
        <v>0.9573341043255531</v>
      </c>
      <c r="M41">
        <f t="shared" si="6"/>
        <v>0.95040224252582051</v>
      </c>
      <c r="N41">
        <f t="shared" si="6"/>
        <v>0.94352057292940916</v>
      </c>
      <c r="O41">
        <f t="shared" si="6"/>
        <v>0.93668873210476955</v>
      </c>
      <c r="P41">
        <f t="shared" si="6"/>
        <v>0.92990635925188625</v>
      </c>
    </row>
    <row r="42" spans="3:16" x14ac:dyDescent="0.2">
      <c r="F42" t="s">
        <v>13</v>
      </c>
      <c r="G42">
        <f>G40*G41</f>
        <v>0.71907981341725491</v>
      </c>
      <c r="H42">
        <f t="shared" ref="H42:P42" si="7">H40*H41</f>
        <v>0.71387310254477698</v>
      </c>
      <c r="I42">
        <f t="shared" si="7"/>
        <v>0.70870409240816123</v>
      </c>
      <c r="J42">
        <f t="shared" si="7"/>
        <v>0.7035725100240372</v>
      </c>
      <c r="K42">
        <f t="shared" si="7"/>
        <v>0.69847808438565095</v>
      </c>
      <c r="L42">
        <f t="shared" si="7"/>
        <v>0.693420546448554</v>
      </c>
      <c r="M42">
        <f t="shared" si="7"/>
        <v>0.68839962911639363</v>
      </c>
      <c r="N42">
        <f t="shared" si="7"/>
        <v>0.68341506722680778</v>
      </c>
      <c r="O42">
        <f t="shared" si="7"/>
        <v>0.67846659753742111</v>
      </c>
      <c r="P42">
        <f t="shared" si="7"/>
        <v>93.664189883900562</v>
      </c>
    </row>
    <row r="43" spans="3:16" x14ac:dyDescent="0.2">
      <c r="F43">
        <f>SUM(G42:P42)</f>
        <v>99.951599327009617</v>
      </c>
    </row>
    <row r="45" spans="3:16" x14ac:dyDescent="0.2">
      <c r="C45" t="s">
        <v>35</v>
      </c>
      <c r="F45">
        <f>F43-G37</f>
        <v>-4.5900704240111168E-2</v>
      </c>
    </row>
    <row r="46" spans="3:16" x14ac:dyDescent="0.2">
      <c r="C46" t="s">
        <v>36</v>
      </c>
      <c r="F46" s="3">
        <f>F45/100*B2</f>
        <v>-4590.0704240111172</v>
      </c>
    </row>
    <row r="48" spans="3:16" x14ac:dyDescent="0.2">
      <c r="C48" t="s">
        <v>37</v>
      </c>
    </row>
    <row r="50" spans="1:14" x14ac:dyDescent="0.2">
      <c r="A50" t="s">
        <v>67</v>
      </c>
    </row>
    <row r="51" spans="1:14" x14ac:dyDescent="0.2">
      <c r="B51" t="s">
        <v>68</v>
      </c>
      <c r="I51">
        <f>100000000</f>
        <v>100000000</v>
      </c>
      <c r="J51" t="s">
        <v>69</v>
      </c>
      <c r="M51" s="4">
        <v>6.7500000000000004E-2</v>
      </c>
      <c r="N51" t="s">
        <v>70</v>
      </c>
    </row>
    <row r="52" spans="1:14" x14ac:dyDescent="0.2">
      <c r="B52" s="7" t="s">
        <v>71</v>
      </c>
    </row>
    <row r="53" spans="1:14" x14ac:dyDescent="0.2">
      <c r="B53" t="s">
        <v>72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41"/>
  <sheetViews>
    <sheetView tabSelected="1" workbookViewId="0">
      <selection activeCell="A42" sqref="A42"/>
    </sheetView>
  </sheetViews>
  <sheetFormatPr baseColWidth="10" defaultColWidth="8.83203125" defaultRowHeight="15" x14ac:dyDescent="0.2"/>
  <cols>
    <col min="3" max="3" width="11" customWidth="1"/>
    <col min="6" max="6" width="11.1640625" bestFit="1" customWidth="1"/>
    <col min="15" max="15" width="9.1640625" bestFit="1" customWidth="1"/>
  </cols>
  <sheetData>
    <row r="1" spans="1:27" x14ac:dyDescent="0.2">
      <c r="A1" t="s">
        <v>39</v>
      </c>
      <c r="F1" s="1">
        <v>100000000</v>
      </c>
      <c r="G1" t="s">
        <v>45</v>
      </c>
    </row>
    <row r="2" spans="1:27" x14ac:dyDescent="0.2">
      <c r="B2" t="s">
        <v>40</v>
      </c>
      <c r="E2" s="4">
        <v>6.7500000000000004E-2</v>
      </c>
      <c r="F2" t="s">
        <v>41</v>
      </c>
      <c r="H2">
        <f>(1+E2/2)^2-1</f>
        <v>6.8639062499999959E-2</v>
      </c>
      <c r="I2" t="s">
        <v>42</v>
      </c>
      <c r="K2">
        <f>LN(1+H2)</f>
        <v>6.6385934711527997E-2</v>
      </c>
      <c r="L2" t="s">
        <v>43</v>
      </c>
      <c r="O2">
        <f>4*((1+H2)^0.25-1)</f>
        <v>6.6939881532550594E-2</v>
      </c>
    </row>
    <row r="4" spans="1:27" x14ac:dyDescent="0.2">
      <c r="A4" t="s">
        <v>44</v>
      </c>
    </row>
    <row r="5" spans="1:27" x14ac:dyDescent="0.2">
      <c r="B5" t="s">
        <v>46</v>
      </c>
      <c r="E5" s="1">
        <f>-0.25/10000*F1</f>
        <v>-2500</v>
      </c>
    </row>
    <row r="7" spans="1:27" x14ac:dyDescent="0.2">
      <c r="B7" t="s">
        <v>47</v>
      </c>
    </row>
    <row r="8" spans="1:27" x14ac:dyDescent="0.2">
      <c r="D8" t="s">
        <v>32</v>
      </c>
      <c r="E8">
        <v>0.5</v>
      </c>
      <c r="F8">
        <v>1</v>
      </c>
      <c r="G8">
        <v>1.5</v>
      </c>
      <c r="H8">
        <v>2</v>
      </c>
      <c r="I8">
        <v>2.5</v>
      </c>
      <c r="J8">
        <v>3</v>
      </c>
      <c r="K8">
        <v>3.5</v>
      </c>
      <c r="L8">
        <v>4</v>
      </c>
      <c r="M8">
        <v>4.5</v>
      </c>
      <c r="N8">
        <v>5</v>
      </c>
      <c r="O8">
        <v>5.5</v>
      </c>
      <c r="P8">
        <v>6</v>
      </c>
      <c r="Q8">
        <v>6.5</v>
      </c>
      <c r="R8">
        <v>7</v>
      </c>
      <c r="S8">
        <v>7.5</v>
      </c>
      <c r="T8">
        <v>8</v>
      </c>
      <c r="U8">
        <v>8.5</v>
      </c>
      <c r="V8">
        <v>9</v>
      </c>
      <c r="W8">
        <v>9.5</v>
      </c>
      <c r="X8">
        <v>10</v>
      </c>
    </row>
    <row r="9" spans="1:27" x14ac:dyDescent="0.2">
      <c r="D9" t="s">
        <v>48</v>
      </c>
      <c r="E9">
        <f>50*$E$2</f>
        <v>3.375</v>
      </c>
      <c r="F9">
        <f t="shared" ref="F9:W9" si="0">50*$E$2</f>
        <v>3.375</v>
      </c>
      <c r="G9">
        <f t="shared" si="0"/>
        <v>3.375</v>
      </c>
      <c r="H9">
        <f t="shared" si="0"/>
        <v>3.375</v>
      </c>
      <c r="I9">
        <f t="shared" si="0"/>
        <v>3.375</v>
      </c>
      <c r="J9">
        <f t="shared" si="0"/>
        <v>3.375</v>
      </c>
      <c r="K9">
        <f t="shared" si="0"/>
        <v>3.375</v>
      </c>
      <c r="L9">
        <f t="shared" si="0"/>
        <v>3.375</v>
      </c>
      <c r="M9">
        <f t="shared" si="0"/>
        <v>3.375</v>
      </c>
      <c r="N9">
        <f t="shared" si="0"/>
        <v>3.375</v>
      </c>
      <c r="O9">
        <f t="shared" si="0"/>
        <v>3.375</v>
      </c>
      <c r="P9">
        <f t="shared" si="0"/>
        <v>3.375</v>
      </c>
      <c r="Q9">
        <f t="shared" si="0"/>
        <v>3.375</v>
      </c>
      <c r="R9">
        <f t="shared" si="0"/>
        <v>3.375</v>
      </c>
      <c r="S9">
        <f t="shared" si="0"/>
        <v>3.375</v>
      </c>
      <c r="T9">
        <f t="shared" si="0"/>
        <v>3.375</v>
      </c>
      <c r="U9">
        <f t="shared" si="0"/>
        <v>3.375</v>
      </c>
      <c r="V9">
        <f t="shared" si="0"/>
        <v>3.375</v>
      </c>
      <c r="W9">
        <f t="shared" si="0"/>
        <v>3.375</v>
      </c>
      <c r="X9">
        <f>100*(1+E2/2)</f>
        <v>103.375</v>
      </c>
    </row>
    <row r="10" spans="1:27" x14ac:dyDescent="0.2">
      <c r="D10" t="s">
        <v>49</v>
      </c>
      <c r="E10">
        <f>EXP(-E8*$K$2)</f>
        <v>0.96735187424425639</v>
      </c>
      <c r="F10">
        <f t="shared" ref="F10:X10" si="1">EXP(-F8*$K$2)</f>
        <v>0.93576964860387557</v>
      </c>
      <c r="G10">
        <f t="shared" si="1"/>
        <v>0.90521852343784825</v>
      </c>
      <c r="H10">
        <f t="shared" si="1"/>
        <v>0.87566483524822081</v>
      </c>
      <c r="I10">
        <f t="shared" si="1"/>
        <v>0.84707601958715439</v>
      </c>
      <c r="J10">
        <f t="shared" si="1"/>
        <v>0.81942057517499822</v>
      </c>
      <c r="K10">
        <f t="shared" si="1"/>
        <v>0.79266802918984103</v>
      </c>
      <c r="L10">
        <f t="shared" si="1"/>
        <v>0.76678890369029362</v>
      </c>
      <c r="M10">
        <f t="shared" si="1"/>
        <v>0.74175468313450421</v>
      </c>
      <c r="N10">
        <f t="shared" si="1"/>
        <v>0.71753778295961712</v>
      </c>
      <c r="O10">
        <f t="shared" si="1"/>
        <v>0.69411151918705405</v>
      </c>
      <c r="P10">
        <f t="shared" si="1"/>
        <v>0.67145007902012477</v>
      </c>
      <c r="Q10">
        <f t="shared" si="1"/>
        <v>0.64952849240157184</v>
      </c>
      <c r="R10">
        <f t="shared" si="1"/>
        <v>0.62832260449970667</v>
      </c>
      <c r="S10">
        <f t="shared" si="1"/>
        <v>0.60780904909282396</v>
      </c>
      <c r="T10">
        <f t="shared" si="1"/>
        <v>0.58796522282256247</v>
      </c>
      <c r="U10">
        <f t="shared" si="1"/>
        <v>0.56876926028784758</v>
      </c>
      <c r="V10">
        <f t="shared" si="1"/>
        <v>0.55020000995196872</v>
      </c>
      <c r="W10">
        <f t="shared" si="1"/>
        <v>0.53223701083624542</v>
      </c>
      <c r="X10">
        <f t="shared" si="1"/>
        <v>0.51486046997460255</v>
      </c>
    </row>
    <row r="11" spans="1:27" x14ac:dyDescent="0.2">
      <c r="D11" t="s">
        <v>50</v>
      </c>
      <c r="E11">
        <f>E9*E10</f>
        <v>3.2648125755743651</v>
      </c>
      <c r="F11">
        <f t="shared" ref="F11:X11" si="2">F9*F10</f>
        <v>3.1582225640380801</v>
      </c>
      <c r="G11">
        <f t="shared" si="2"/>
        <v>3.0551125166027377</v>
      </c>
      <c r="H11">
        <f t="shared" si="2"/>
        <v>2.9553688189627452</v>
      </c>
      <c r="I11">
        <f t="shared" si="2"/>
        <v>2.8588815661066462</v>
      </c>
      <c r="J11">
        <f t="shared" si="2"/>
        <v>2.7655444412156189</v>
      </c>
      <c r="K11">
        <f t="shared" si="2"/>
        <v>2.6752545985157137</v>
      </c>
      <c r="L11">
        <f t="shared" si="2"/>
        <v>2.5879125499547411</v>
      </c>
      <c r="M11">
        <f t="shared" si="2"/>
        <v>2.5034220555789517</v>
      </c>
      <c r="N11">
        <f t="shared" si="2"/>
        <v>2.4216900174887077</v>
      </c>
      <c r="O11">
        <f t="shared" si="2"/>
        <v>2.3426263772563076</v>
      </c>
      <c r="P11">
        <f t="shared" si="2"/>
        <v>2.266144016692921</v>
      </c>
      <c r="Q11">
        <f t="shared" si="2"/>
        <v>2.1921586618553048</v>
      </c>
      <c r="R11">
        <f t="shared" si="2"/>
        <v>2.1205887901865101</v>
      </c>
      <c r="S11">
        <f t="shared" si="2"/>
        <v>2.0513555406882809</v>
      </c>
      <c r="T11">
        <f t="shared" si="2"/>
        <v>1.9843826270261484</v>
      </c>
      <c r="U11">
        <f t="shared" si="2"/>
        <v>1.9195962534714857</v>
      </c>
      <c r="V11">
        <f t="shared" si="2"/>
        <v>1.8569250335878944</v>
      </c>
      <c r="W11">
        <f t="shared" si="2"/>
        <v>1.7962999115723284</v>
      </c>
      <c r="X11">
        <f t="shared" si="2"/>
        <v>53.22370108362454</v>
      </c>
    </row>
    <row r="12" spans="1:27" x14ac:dyDescent="0.2">
      <c r="D12">
        <f>SUM(E11:X11)</f>
        <v>100.00000000000003</v>
      </c>
      <c r="E12" t="s">
        <v>51</v>
      </c>
    </row>
    <row r="14" spans="1:27" x14ac:dyDescent="0.2">
      <c r="D14" t="s">
        <v>14</v>
      </c>
      <c r="E14">
        <f>E11/$D$12</f>
        <v>3.2648125755743641E-2</v>
      </c>
      <c r="F14">
        <f t="shared" ref="F14:X14" si="3">F11/$D$12</f>
        <v>3.1582225640380795E-2</v>
      </c>
      <c r="G14">
        <f t="shared" si="3"/>
        <v>3.0551125166027367E-2</v>
      </c>
      <c r="H14">
        <f t="shared" si="3"/>
        <v>2.9553688189627444E-2</v>
      </c>
      <c r="I14">
        <f t="shared" si="3"/>
        <v>2.8588815661066455E-2</v>
      </c>
      <c r="J14">
        <f t="shared" si="3"/>
        <v>2.7655444412156182E-2</v>
      </c>
      <c r="K14">
        <f t="shared" si="3"/>
        <v>2.6752545985157129E-2</v>
      </c>
      <c r="L14">
        <f t="shared" si="3"/>
        <v>2.5879125499547403E-2</v>
      </c>
      <c r="M14">
        <f t="shared" si="3"/>
        <v>2.5034220555789511E-2</v>
      </c>
      <c r="N14">
        <f t="shared" si="3"/>
        <v>2.421690017488707E-2</v>
      </c>
      <c r="O14">
        <f t="shared" si="3"/>
        <v>2.3426263772563068E-2</v>
      </c>
      <c r="P14">
        <f t="shared" si="3"/>
        <v>2.2661440166929205E-2</v>
      </c>
      <c r="Q14">
        <f t="shared" si="3"/>
        <v>2.1921586618553042E-2</v>
      </c>
      <c r="R14">
        <f t="shared" si="3"/>
        <v>2.1205887901865096E-2</v>
      </c>
      <c r="S14">
        <f t="shared" si="3"/>
        <v>2.0513555406882801E-2</v>
      </c>
      <c r="T14">
        <f t="shared" si="3"/>
        <v>1.9843826270261478E-2</v>
      </c>
      <c r="U14">
        <f t="shared" si="3"/>
        <v>1.9195962534714853E-2</v>
      </c>
      <c r="V14">
        <f t="shared" si="3"/>
        <v>1.8569250335878938E-2</v>
      </c>
      <c r="W14">
        <f t="shared" si="3"/>
        <v>1.7962999115723279E-2</v>
      </c>
      <c r="X14">
        <f t="shared" si="3"/>
        <v>0.53223701083624531</v>
      </c>
      <c r="Y14" t="s">
        <v>15</v>
      </c>
      <c r="Z14">
        <f>SUM(E14:X14)</f>
        <v>1.0000000000000002</v>
      </c>
      <c r="AA14" t="s">
        <v>52</v>
      </c>
    </row>
    <row r="15" spans="1:27" x14ac:dyDescent="0.2">
      <c r="D15" t="s">
        <v>53</v>
      </c>
      <c r="E15">
        <f>E14*E8</f>
        <v>1.6324062877871821E-2</v>
      </c>
      <c r="F15">
        <f t="shared" ref="F15:X15" si="4">F14*F8</f>
        <v>3.1582225640380795E-2</v>
      </c>
      <c r="G15">
        <f t="shared" si="4"/>
        <v>4.5826687749041049E-2</v>
      </c>
      <c r="H15">
        <f t="shared" si="4"/>
        <v>5.9107376379254888E-2</v>
      </c>
      <c r="I15">
        <f t="shared" si="4"/>
        <v>7.1472039152666145E-2</v>
      </c>
      <c r="J15">
        <f t="shared" si="4"/>
        <v>8.2966333236468542E-2</v>
      </c>
      <c r="K15">
        <f t="shared" si="4"/>
        <v>9.3633910948049945E-2</v>
      </c>
      <c r="L15">
        <f t="shared" si="4"/>
        <v>0.10351650199818961</v>
      </c>
      <c r="M15">
        <f t="shared" si="4"/>
        <v>0.1126539925010528</v>
      </c>
      <c r="N15">
        <f t="shared" si="4"/>
        <v>0.12108450087443534</v>
      </c>
      <c r="O15">
        <f t="shared" si="4"/>
        <v>0.12884445074909687</v>
      </c>
      <c r="P15">
        <f t="shared" si="4"/>
        <v>0.13596864100157524</v>
      </c>
      <c r="Q15">
        <f t="shared" si="4"/>
        <v>0.14249031302059478</v>
      </c>
      <c r="R15">
        <f t="shared" si="4"/>
        <v>0.14844121531305568</v>
      </c>
      <c r="S15">
        <f t="shared" si="4"/>
        <v>0.153851665551621</v>
      </c>
      <c r="T15">
        <f t="shared" si="4"/>
        <v>0.15875061016209183</v>
      </c>
      <c r="U15">
        <f t="shared" si="4"/>
        <v>0.16316568154507624</v>
      </c>
      <c r="V15">
        <f t="shared" si="4"/>
        <v>0.16712325302291045</v>
      </c>
      <c r="W15">
        <f t="shared" si="4"/>
        <v>0.17064849159937115</v>
      </c>
      <c r="X15">
        <f t="shared" si="4"/>
        <v>5.3223701083624526</v>
      </c>
    </row>
    <row r="16" spans="1:27" x14ac:dyDescent="0.2">
      <c r="D16">
        <f>SUM(E15:X15)</f>
        <v>7.4298220616852575</v>
      </c>
    </row>
    <row r="17" spans="1:24" x14ac:dyDescent="0.2">
      <c r="E17" s="1">
        <f>-D16/10000*F1</f>
        <v>-74298.220616852574</v>
      </c>
    </row>
    <row r="18" spans="1:24" x14ac:dyDescent="0.2">
      <c r="B18" s="1" t="s">
        <v>54</v>
      </c>
      <c r="C18" s="1"/>
      <c r="D18" s="1"/>
      <c r="E18" s="1"/>
      <c r="G18" s="5">
        <f>E17-E5</f>
        <v>-71798.220616852574</v>
      </c>
      <c r="I18" t="s">
        <v>62</v>
      </c>
      <c r="P18" s="1">
        <f>E5-E17</f>
        <v>71798.220616852574</v>
      </c>
    </row>
    <row r="21" spans="1:24" x14ac:dyDescent="0.2">
      <c r="A21" t="s">
        <v>55</v>
      </c>
      <c r="E21" t="s">
        <v>57</v>
      </c>
      <c r="G21">
        <f>K2+0.0001</f>
        <v>6.6485934711528E-2</v>
      </c>
    </row>
    <row r="22" spans="1:24" x14ac:dyDescent="0.2">
      <c r="C22" t="s">
        <v>56</v>
      </c>
    </row>
    <row r="23" spans="1:24" x14ac:dyDescent="0.2">
      <c r="D23" t="s">
        <v>32</v>
      </c>
      <c r="E23">
        <v>0.25</v>
      </c>
    </row>
    <row r="24" spans="1:24" x14ac:dyDescent="0.2">
      <c r="D24" t="s">
        <v>48</v>
      </c>
      <c r="E24">
        <f>100*(1+O2/4)</f>
        <v>101.67349703831377</v>
      </c>
    </row>
    <row r="25" spans="1:24" x14ac:dyDescent="0.2">
      <c r="D25" t="s">
        <v>49</v>
      </c>
      <c r="E25">
        <f>EXP(-0.25*G21)</f>
        <v>0.98351589100518033</v>
      </c>
    </row>
    <row r="26" spans="1:24" x14ac:dyDescent="0.2">
      <c r="D26" t="s">
        <v>50</v>
      </c>
      <c r="E26">
        <f>E24*E25</f>
        <v>99.997500031249729</v>
      </c>
    </row>
    <row r="27" spans="1:24" x14ac:dyDescent="0.2">
      <c r="C27" t="s">
        <v>58</v>
      </c>
      <c r="F27" s="2">
        <f>(E26-100)/100*F1</f>
        <v>-2499.9687502713641</v>
      </c>
    </row>
    <row r="29" spans="1:24" x14ac:dyDescent="0.2">
      <c r="C29" t="s">
        <v>59</v>
      </c>
    </row>
    <row r="30" spans="1:24" x14ac:dyDescent="0.2">
      <c r="D30" t="s">
        <v>32</v>
      </c>
      <c r="E30">
        <v>0.5</v>
      </c>
      <c r="F30">
        <v>1</v>
      </c>
      <c r="G30">
        <v>1.5</v>
      </c>
      <c r="H30">
        <v>2</v>
      </c>
      <c r="I30">
        <v>2.5</v>
      </c>
      <c r="J30">
        <v>3</v>
      </c>
      <c r="K30">
        <v>3.5</v>
      </c>
      <c r="L30">
        <v>4</v>
      </c>
      <c r="M30">
        <v>4.5</v>
      </c>
      <c r="N30">
        <v>5</v>
      </c>
      <c r="O30">
        <v>5.5</v>
      </c>
      <c r="P30">
        <v>6</v>
      </c>
      <c r="Q30">
        <v>6.5</v>
      </c>
      <c r="R30">
        <v>7</v>
      </c>
      <c r="S30">
        <v>7.5</v>
      </c>
      <c r="T30">
        <v>8</v>
      </c>
      <c r="U30">
        <v>8.5</v>
      </c>
      <c r="V30">
        <v>9</v>
      </c>
      <c r="W30">
        <v>9.5</v>
      </c>
      <c r="X30">
        <v>10</v>
      </c>
    </row>
    <row r="31" spans="1:24" x14ac:dyDescent="0.2">
      <c r="D31" t="s">
        <v>48</v>
      </c>
      <c r="E31">
        <f>E9</f>
        <v>3.375</v>
      </c>
      <c r="F31">
        <f t="shared" ref="F31:X31" si="5">F9</f>
        <v>3.375</v>
      </c>
      <c r="G31">
        <f t="shared" si="5"/>
        <v>3.375</v>
      </c>
      <c r="H31">
        <f t="shared" si="5"/>
        <v>3.375</v>
      </c>
      <c r="I31">
        <f t="shared" si="5"/>
        <v>3.375</v>
      </c>
      <c r="J31">
        <f t="shared" si="5"/>
        <v>3.375</v>
      </c>
      <c r="K31">
        <f t="shared" si="5"/>
        <v>3.375</v>
      </c>
      <c r="L31">
        <f t="shared" si="5"/>
        <v>3.375</v>
      </c>
      <c r="M31">
        <f t="shared" si="5"/>
        <v>3.375</v>
      </c>
      <c r="N31">
        <f t="shared" si="5"/>
        <v>3.375</v>
      </c>
      <c r="O31">
        <f t="shared" si="5"/>
        <v>3.375</v>
      </c>
      <c r="P31">
        <f t="shared" si="5"/>
        <v>3.375</v>
      </c>
      <c r="Q31">
        <f t="shared" si="5"/>
        <v>3.375</v>
      </c>
      <c r="R31">
        <f t="shared" si="5"/>
        <v>3.375</v>
      </c>
      <c r="S31">
        <f t="shared" si="5"/>
        <v>3.375</v>
      </c>
      <c r="T31">
        <f t="shared" si="5"/>
        <v>3.375</v>
      </c>
      <c r="U31">
        <f t="shared" si="5"/>
        <v>3.375</v>
      </c>
      <c r="V31">
        <f t="shared" si="5"/>
        <v>3.375</v>
      </c>
      <c r="W31">
        <f t="shared" si="5"/>
        <v>3.375</v>
      </c>
      <c r="X31">
        <f t="shared" si="5"/>
        <v>103.375</v>
      </c>
    </row>
    <row r="32" spans="1:24" x14ac:dyDescent="0.2">
      <c r="D32" t="s">
        <v>49</v>
      </c>
      <c r="E32">
        <f>EXP(-E30*$G$21)</f>
        <v>0.96730350785971386</v>
      </c>
      <c r="F32">
        <f t="shared" ref="F32:X32" si="6">EXP(-F30*$G$21)</f>
        <v>0.93567607631770744</v>
      </c>
      <c r="G32">
        <f t="shared" si="6"/>
        <v>0.90508275084253176</v>
      </c>
      <c r="H32">
        <f t="shared" si="6"/>
        <v>0.87548971979330037</v>
      </c>
      <c r="I32">
        <f t="shared" si="6"/>
        <v>0.84686427705117739</v>
      </c>
      <c r="J32">
        <f t="shared" si="6"/>
        <v>0.81917478587268444</v>
      </c>
      <c r="K32">
        <f t="shared" si="6"/>
        <v>0.79239064392487757</v>
      </c>
      <c r="L32">
        <f t="shared" si="6"/>
        <v>0.76648224946375154</v>
      </c>
      <c r="M32">
        <f t="shared" si="6"/>
        <v>0.74142096861849116</v>
      </c>
      <c r="N32">
        <f t="shared" si="6"/>
        <v>0.71717910374541338</v>
      </c>
      <c r="O32">
        <f t="shared" si="6"/>
        <v>0.69372986281662397</v>
      </c>
      <c r="P32">
        <f t="shared" si="6"/>
        <v>0.67104732980955839</v>
      </c>
      <c r="Q32">
        <f t="shared" si="6"/>
        <v>0.64910643606468021</v>
      </c>
      <c r="R32">
        <f t="shared" si="6"/>
        <v>0.6278829325796822</v>
      </c>
      <c r="S32">
        <f t="shared" si="6"/>
        <v>0.60735336320957078</v>
      </c>
      <c r="T32">
        <f t="shared" si="6"/>
        <v>0.58749503874301268</v>
      </c>
      <c r="U32">
        <f t="shared" si="6"/>
        <v>0.56828601182629468</v>
      </c>
      <c r="V32">
        <f t="shared" si="6"/>
        <v>0.54970505270718162</v>
      </c>
      <c r="W32">
        <f t="shared" si="6"/>
        <v>0.53173162577186572</v>
      </c>
      <c r="X32">
        <f t="shared" si="6"/>
        <v>0.51434586684907435</v>
      </c>
    </row>
    <row r="33" spans="1:24" x14ac:dyDescent="0.2">
      <c r="D33" t="s">
        <v>50</v>
      </c>
      <c r="E33">
        <f>E31*E32</f>
        <v>3.2646493390265343</v>
      </c>
      <c r="F33">
        <f t="shared" ref="F33:X33" si="7">F31*F32</f>
        <v>3.1579067575722628</v>
      </c>
      <c r="G33">
        <f t="shared" si="7"/>
        <v>3.0546542840935449</v>
      </c>
      <c r="H33">
        <f t="shared" si="7"/>
        <v>2.9547778043023887</v>
      </c>
      <c r="I33">
        <f t="shared" si="7"/>
        <v>2.8581669350477239</v>
      </c>
      <c r="J33">
        <f t="shared" si="7"/>
        <v>2.7647149023203101</v>
      </c>
      <c r="K33">
        <f t="shared" si="7"/>
        <v>2.6743184232464619</v>
      </c>
      <c r="L33">
        <f t="shared" si="7"/>
        <v>2.5868775919401616</v>
      </c>
      <c r="M33">
        <f t="shared" si="7"/>
        <v>2.5022957690874077</v>
      </c>
      <c r="N33">
        <f t="shared" si="7"/>
        <v>2.4204794751407701</v>
      </c>
      <c r="O33">
        <f t="shared" si="7"/>
        <v>2.3413382870061059</v>
      </c>
      <c r="P33">
        <f t="shared" si="7"/>
        <v>2.2647847381072594</v>
      </c>
      <c r="Q33">
        <f t="shared" si="7"/>
        <v>2.1907342217182957</v>
      </c>
      <c r="R33">
        <f t="shared" si="7"/>
        <v>2.1191048974564275</v>
      </c>
      <c r="S33">
        <f t="shared" si="7"/>
        <v>2.0498176008323012</v>
      </c>
      <c r="T33">
        <f t="shared" si="7"/>
        <v>1.9827957557576679</v>
      </c>
      <c r="U33">
        <f t="shared" si="7"/>
        <v>1.9179652899137445</v>
      </c>
      <c r="V33">
        <f t="shared" si="7"/>
        <v>1.8552545528867379</v>
      </c>
      <c r="W33">
        <f t="shared" si="7"/>
        <v>1.7945942369800467</v>
      </c>
      <c r="X33">
        <f t="shared" si="7"/>
        <v>53.170503985523062</v>
      </c>
    </row>
    <row r="34" spans="1:24" x14ac:dyDescent="0.2">
      <c r="D34">
        <f>SUM(E33:X33)</f>
        <v>99.92573484795922</v>
      </c>
    </row>
    <row r="35" spans="1:24" x14ac:dyDescent="0.2">
      <c r="C35" t="s">
        <v>60</v>
      </c>
      <c r="F35">
        <f>(D34-D12)/100*F1</f>
        <v>-74265.152040808855</v>
      </c>
    </row>
    <row r="36" spans="1:24" x14ac:dyDescent="0.2">
      <c r="A36" t="s">
        <v>61</v>
      </c>
      <c r="C36" s="6">
        <f>F35-F27</f>
        <v>-71765.18329053749</v>
      </c>
      <c r="D36" t="s">
        <v>63</v>
      </c>
    </row>
    <row r="38" spans="1:24" x14ac:dyDescent="0.2">
      <c r="I38" t="s">
        <v>64</v>
      </c>
      <c r="O38" s="2">
        <f>F27-F35</f>
        <v>71765.18329053749</v>
      </c>
      <c r="P38" t="s">
        <v>65</v>
      </c>
    </row>
    <row r="41" spans="1:24" x14ac:dyDescent="0.2">
      <c r="A4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Basics</vt:lpstr>
      <vt:lpstr>Exercise Key</vt:lpstr>
    </vt:vector>
  </TitlesOfParts>
  <Company>University of Arizona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Lamoureux</dc:creator>
  <cp:lastModifiedBy>Microsoft Office User</cp:lastModifiedBy>
  <dcterms:created xsi:type="dcterms:W3CDTF">2019-10-11T17:18:53Z</dcterms:created>
  <dcterms:modified xsi:type="dcterms:W3CDTF">2019-10-12T17:55:37Z</dcterms:modified>
</cp:coreProperties>
</file>