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0" yWindow="0" windowWidth="28800" windowHeight="12300"/>
  </bookViews>
  <sheets>
    <sheet name="Long" sheetId="2" r:id="rId1"/>
    <sheet name="Short" sheetId="1" r:id="rId2"/>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95" i="1" l="1"/>
  <c r="E82" i="1"/>
  <c r="I81" i="1"/>
  <c r="I91" i="2"/>
  <c r="D42" i="1"/>
  <c r="H24" i="1"/>
  <c r="D9" i="1"/>
  <c r="E57" i="2"/>
  <c r="P49" i="2"/>
  <c r="O49" i="2"/>
  <c r="R48" i="2"/>
  <c r="P42" i="2"/>
  <c r="O42" i="2"/>
  <c r="P8" i="2"/>
  <c r="O8" i="2"/>
  <c r="D95" i="1" l="1"/>
  <c r="D94" i="1"/>
  <c r="F88" i="1"/>
  <c r="E91" i="1" s="1"/>
  <c r="F87" i="1"/>
  <c r="F89" i="1"/>
  <c r="F59" i="1"/>
  <c r="E49" i="1"/>
  <c r="I45" i="1"/>
  <c r="E51" i="1" s="1"/>
  <c r="E35" i="1"/>
  <c r="E73" i="1" s="1"/>
  <c r="E74" i="1" s="1"/>
  <c r="D21" i="1"/>
  <c r="E103" i="2"/>
  <c r="D103" i="2"/>
  <c r="E97" i="2"/>
  <c r="E99" i="2"/>
  <c r="E71" i="2"/>
  <c r="D71" i="2"/>
  <c r="F66" i="2"/>
  <c r="E56" i="2"/>
  <c r="I52" i="2"/>
  <c r="E58" i="2" s="1"/>
  <c r="E42" i="2"/>
  <c r="D50" i="2" s="1"/>
  <c r="F29" i="2"/>
  <c r="D22" i="2"/>
  <c r="D9" i="2"/>
  <c r="H25" i="2" s="1"/>
  <c r="L25" i="2" s="1"/>
  <c r="E93" i="1"/>
  <c r="D93" i="1"/>
  <c r="E64" i="1"/>
  <c r="D64" i="1"/>
  <c r="F28" i="1"/>
  <c r="D78" i="1" l="1"/>
  <c r="F83" i="1" s="1"/>
  <c r="E75" i="1"/>
  <c r="D43" i="1"/>
  <c r="E50" i="1"/>
  <c r="E52" i="1" s="1"/>
  <c r="E65" i="1" s="1"/>
  <c r="F26" i="1"/>
  <c r="F29" i="1" s="1"/>
  <c r="F27" i="2"/>
  <c r="F30" i="2" s="1"/>
  <c r="E98" i="2"/>
  <c r="E101" i="2" s="1"/>
  <c r="E104" i="2" s="1"/>
  <c r="E83" i="2"/>
  <c r="D49" i="2"/>
  <c r="E59" i="2"/>
  <c r="E72" i="2" s="1"/>
  <c r="E94" i="1"/>
  <c r="C97" i="1" s="1"/>
  <c r="F60" i="1" l="1"/>
  <c r="F46" i="1"/>
  <c r="E84" i="2"/>
  <c r="F67" i="2"/>
  <c r="E53" i="2"/>
  <c r="D79" i="1"/>
  <c r="C94" i="1"/>
  <c r="H55" i="1" l="1"/>
  <c r="F61" i="1" s="1"/>
  <c r="D65" i="1"/>
  <c r="D89" i="2"/>
  <c r="D88" i="2"/>
  <c r="E92" i="2"/>
  <c r="D104" i="2" s="1"/>
  <c r="E85" i="2"/>
  <c r="H62" i="2"/>
  <c r="D72" i="2"/>
  <c r="G84" i="1"/>
  <c r="E56" i="1" l="1"/>
  <c r="F68" i="2"/>
  <c r="F69" i="2" s="1"/>
  <c r="E63" i="2"/>
  <c r="C104" i="2"/>
  <c r="E94" i="2"/>
  <c r="G93" i="2"/>
  <c r="E105" i="2"/>
  <c r="F62" i="1"/>
  <c r="C107" i="2" l="1"/>
  <c r="D105" i="2"/>
</calcChain>
</file>

<file path=xl/sharedStrings.xml><?xml version="1.0" encoding="utf-8"?>
<sst xmlns="http://schemas.openxmlformats.org/spreadsheetml/2006/main" count="201" uniqueCount="136">
  <si>
    <t>Repo financing of a STRIPS purchase</t>
  </si>
  <si>
    <t>To focus on the repo, we'll use it to finance a STRIPS purchase.</t>
  </si>
  <si>
    <t>Example:</t>
  </si>
  <si>
    <t xml:space="preserve">Purchase </t>
  </si>
  <si>
    <t xml:space="preserve"> par value of the </t>
  </si>
  <si>
    <t xml:space="preserve"> fungible coupon STRIPS on</t>
  </si>
  <si>
    <t>11/15/2019 (settlement date)</t>
  </si>
  <si>
    <t xml:space="preserve">  for:</t>
  </si>
  <si>
    <t xml:space="preserve">Bid </t>
  </si>
  <si>
    <t>Ask</t>
  </si>
  <si>
    <t>T (Yrs):</t>
  </si>
  <si>
    <t xml:space="preserve"> In % Terms:</t>
  </si>
  <si>
    <t>Market value of purchase:</t>
  </si>
  <si>
    <t>We are financing this purchase using a 1-month repurchase agreement.</t>
  </si>
  <si>
    <t>1-mo repo:</t>
  </si>
  <si>
    <t>Bid</t>
  </si>
  <si>
    <t>Once we receive delivery of the note on the settlement date, we transfer the note to the account of the repo dealer -- it is collateral for the repo loan.</t>
  </si>
  <si>
    <t>Since we are borrowing cash we pay the higher (ask) rate.</t>
  </si>
  <si>
    <t>Repo is a money market transaction so it uses the 30/360 day count convention.</t>
  </si>
  <si>
    <t>Once the repo dealer receives our securities as collateral, it wires the cash to our account.  We wire the funds immediately to the seller of the STRIPS.</t>
  </si>
  <si>
    <t>We sell our STRIPS:</t>
  </si>
  <si>
    <t xml:space="preserve">  for settlement on 12/16/2019</t>
  </si>
  <si>
    <t>In this example, let assume that we hold the position until 12/13/19, when its market is:</t>
  </si>
  <si>
    <t>We reecive the cash from the settlement.</t>
  </si>
  <si>
    <t>To close the repo position we have to pay 31 days of repo interest:</t>
  </si>
  <si>
    <t xml:space="preserve">  So to close the repo account we wire </t>
  </si>
  <si>
    <t xml:space="preserve"> to the repo dealer, he wires the STRIPS to us, and we wire it to the STRIPS buyer.</t>
  </si>
  <si>
    <t>On 12/16/2019 we have a positive cash flow of:</t>
  </si>
  <si>
    <t>In the next example we will go long a STRIPS using 1-month repo to finance and roll-over the position after 1 month.</t>
  </si>
  <si>
    <t xml:space="preserve"> par value of the 5/15/2030 STRIPS on May 14, 2020 (for settlement on 5/15/2020).</t>
  </si>
  <si>
    <t xml:space="preserve"> T (Yrs):</t>
  </si>
  <si>
    <t>Cash outflow:</t>
  </si>
  <si>
    <t>Wire the security to the repo dealer who wires the loan amount to our account.</t>
  </si>
  <si>
    <t xml:space="preserve">  We wire those funds to the STRIPS seller.</t>
  </si>
  <si>
    <t>After 1 month, we have to roll over our repo.</t>
  </si>
  <si>
    <t>We keep the security.</t>
  </si>
  <si>
    <t>Settle previous repo:</t>
  </si>
  <si>
    <t xml:space="preserve">  interest expense</t>
  </si>
  <si>
    <t>principal balance</t>
  </si>
  <si>
    <t xml:space="preserve">We roll over the repo so we tell the repo dealer to keep the securities.  He is willing to lend </t>
  </si>
  <si>
    <t xml:space="preserve">  as that is the current value of our STRIPS.</t>
  </si>
  <si>
    <t>So this means we have to wire</t>
  </si>
  <si>
    <t xml:space="preserve">  to the repo dealer in order to keep the position open.  This will tie-up the firm's capital to keep the trade open.</t>
  </si>
  <si>
    <t>We sell the security:</t>
  </si>
  <si>
    <t>We remit cash to the repo dealer:</t>
  </si>
  <si>
    <t>principal</t>
  </si>
  <si>
    <t xml:space="preserve">  Cash outlow</t>
  </si>
  <si>
    <t>We also have to account for the cost of tying up the firm's capital for 1 month.</t>
  </si>
  <si>
    <t>Cost of firm capital:</t>
  </si>
  <si>
    <t xml:space="preserve"> (Continusouly compounded)</t>
  </si>
  <si>
    <t>Let’s modify the preceding example with a haircut.  Assume that there is a 2% haircut on this trade:</t>
  </si>
  <si>
    <t>Referring to the previous case, when we settle the security purchase and repo on 5/15/2020 we have:</t>
  </si>
  <si>
    <t>Cash ouflow for purchase:</t>
  </si>
  <si>
    <t>Repo Loan</t>
  </si>
  <si>
    <t>Firm Capital</t>
  </si>
  <si>
    <t xml:space="preserve">  We have to send this along with the repo loan amount to the STRIPS seller.</t>
  </si>
  <si>
    <t>After 1 more month, let's close the position:</t>
  </si>
  <si>
    <t>After 1 month roll over the repo:</t>
  </si>
  <si>
    <t xml:space="preserve"> interest expense</t>
  </si>
  <si>
    <t xml:space="preserve"> principal balance</t>
  </si>
  <si>
    <t>New repo Loan:</t>
  </si>
  <si>
    <t>Wire</t>
  </si>
  <si>
    <t xml:space="preserve">  additional cash to the repo dealer</t>
  </si>
  <si>
    <t>(This cash outlay includes the repo interest.)</t>
  </si>
  <si>
    <t>And after another month we close the position:</t>
  </si>
  <si>
    <t xml:space="preserve">  principal</t>
  </si>
  <si>
    <t>Here are the components of the loss:</t>
  </si>
  <si>
    <t>1. Loss on the STRIPS</t>
  </si>
  <si>
    <t>2. Interest expense on repo:</t>
  </si>
  <si>
    <t>3. Oppty Cost of Capital:</t>
  </si>
  <si>
    <t>So the timeline of cash flows from this trade is:</t>
  </si>
  <si>
    <t>Time (Yrs):</t>
  </si>
  <si>
    <t>CF</t>
  </si>
  <si>
    <r>
      <t xml:space="preserve">So the P&amp; L from this trade is a </t>
    </r>
    <r>
      <rPr>
        <b/>
        <sz val="12"/>
        <color theme="1"/>
        <rFont val="Calibri"/>
        <family val="2"/>
        <scheme val="minor"/>
      </rPr>
      <t xml:space="preserve">loss </t>
    </r>
    <r>
      <rPr>
        <sz val="12"/>
        <color theme="1"/>
        <rFont val="Calibri"/>
        <family val="2"/>
        <scheme val="minor"/>
      </rPr>
      <t>of:</t>
    </r>
  </si>
  <si>
    <t>Time line:</t>
  </si>
  <si>
    <t>CF:</t>
  </si>
  <si>
    <t>This is a 2-period trade which requires 0 cash outlay to establish, but requires a cash outflow after 1 period.  This requires that the firm use its valuable capital to keep the trade open.</t>
  </si>
  <si>
    <t xml:space="preserve">   This has a cost to the firm -- it ties up capital until the next period.  So we have to recognize that cost in assessing the profitability of the trade.  Note that this opportunity cost of capital is not a cash flow.</t>
  </si>
  <si>
    <t xml:space="preserve">   </t>
  </si>
  <si>
    <t>When there is a haircut, the repo dealer is willing to lend less than 100% of the value of the collateral -- requiring the repo borrower to post margin.</t>
  </si>
  <si>
    <t>And at this point we have to commit:</t>
  </si>
  <si>
    <t xml:space="preserve"> of the firm's valuable capital to the trade.</t>
  </si>
  <si>
    <t>Opportunity cost of firm's capital in the first month:</t>
  </si>
  <si>
    <t xml:space="preserve">  (not a cash outflow)</t>
  </si>
  <si>
    <t>Oppty Cost of capital:</t>
  </si>
  <si>
    <t>Total trade P&amp;L:</t>
  </si>
  <si>
    <t>Securities lending: Use of repo to create a short position.</t>
  </si>
  <si>
    <t>In order to sell something that you don't own, you have to borrow it.  You borrow it by lending cash in a repo and receiving the security that you want to sell as collateral for that cash loan.</t>
  </si>
  <si>
    <t xml:space="preserve">  This is a curious transaction as what you are effectively doing is making a collateralized loan in order to borrow a specific security.</t>
  </si>
  <si>
    <t>Sell (short):</t>
  </si>
  <si>
    <t>Market value of sale:</t>
  </si>
  <si>
    <t>We borrow the security using a 1-month repurchase agreement.</t>
  </si>
  <si>
    <t>We must settle the trade on the settlement date we receive cash from the sale, post the cash to the repo dealer, and in exchange receive the STRIPS as collateral on the repo.</t>
  </si>
  <si>
    <t xml:space="preserve">  We immediately wire the STRIPS (i.e., transfer electronically) to the buyer.</t>
  </si>
  <si>
    <t>Since we are lending cash we receive the lower (bid) rate.</t>
  </si>
  <si>
    <t>We buy  the STRIPS:</t>
  </si>
  <si>
    <t>We reecive the STRIPS from the settlement.</t>
  </si>
  <si>
    <t>To close the repo position we receive 31 days of repo interest:</t>
  </si>
  <si>
    <t>the STRIPS</t>
  </si>
  <si>
    <t xml:space="preserve"> to the repo dealer, he wires the cash -- including our repo interest -- to us.</t>
  </si>
  <si>
    <t>We wire the cash to the STRIPS seller to close the position.</t>
  </si>
  <si>
    <t>On 12/16/2019 we have a net cash flow of:</t>
  </si>
  <si>
    <t>In the next example we will short a STRIPS using 1-month repo, and roll-over the position after 1 month.</t>
  </si>
  <si>
    <t>Sell</t>
  </si>
  <si>
    <t>Cash inflow:</t>
  </si>
  <si>
    <t>Borrow the security from the repo dealer who wires it to our account.  We wire the funds from the sale to his account.</t>
  </si>
  <si>
    <t xml:space="preserve">  We deliver the STRIPS to the STRIPS buyer.</t>
  </si>
  <si>
    <t xml:space="preserve">  interest income</t>
  </si>
  <si>
    <t>So this means we receive a net cash inflow:</t>
  </si>
  <si>
    <t>We buy the security:</t>
  </si>
  <si>
    <t>We remit the STRIPS to the repo dealer:</t>
  </si>
  <si>
    <t xml:space="preserve">  Cash inflow</t>
  </si>
  <si>
    <t>We also have to account for the use of extra capital for 1 month.</t>
  </si>
  <si>
    <r>
      <t xml:space="preserve">So the P&amp; L from this trade is a </t>
    </r>
    <r>
      <rPr>
        <b/>
        <sz val="12"/>
        <color theme="1"/>
        <rFont val="Calibri"/>
        <family val="2"/>
        <scheme val="minor"/>
      </rPr>
      <t xml:space="preserve">gain </t>
    </r>
    <r>
      <rPr>
        <sz val="12"/>
        <color theme="1"/>
        <rFont val="Calibri"/>
        <family val="2"/>
        <scheme val="minor"/>
      </rPr>
      <t>of:</t>
    </r>
  </si>
  <si>
    <t>Here are the components of the gain:</t>
  </si>
  <si>
    <t>1. Gain on the STRIPS</t>
  </si>
  <si>
    <t>2. Interest income on repo:</t>
  </si>
  <si>
    <t>This is a 2-period trade which requires 0 cash outlay to establish, but generates a cash inflow after 1 period.  This provides valuable capital to the firm.</t>
  </si>
  <si>
    <t>When there is a haircut, the repo dealer requires more cash than the value of the collateral -- requiring the short seller (i.e., the repo lender) to post margin.</t>
  </si>
  <si>
    <t>Referring to the previous case, when we settle the security sale and repo on 5/15/2020 we have:</t>
  </si>
  <si>
    <t>Cash inflow from sale:</t>
  </si>
  <si>
    <t xml:space="preserve">  We have to send this along with cash from the sale to the repo dealer.</t>
  </si>
  <si>
    <t xml:space="preserve"> interest income</t>
  </si>
  <si>
    <t xml:space="preserve">   cash inflow since the cash value required to collateralize the position is lower.</t>
  </si>
  <si>
    <t xml:space="preserve">  Since the security's value is lower the cash we have to post as collateral is also lower.</t>
  </si>
  <si>
    <t>Net firm capital tied-up / freed by trade:</t>
  </si>
  <si>
    <t>We get our cashback from the repo dealer:</t>
  </si>
  <si>
    <t>Oppty Cost of / return on capital:</t>
  </si>
  <si>
    <t>Cash flow:</t>
  </si>
  <si>
    <t>ytm:</t>
  </si>
  <si>
    <t>cc ytm:</t>
  </si>
  <si>
    <t>We maintain our short postion.</t>
  </si>
  <si>
    <t xml:space="preserve">We roll over the repo so we tell the repo dealer to keep the cash.  We lend </t>
  </si>
  <si>
    <t xml:space="preserve">  as that is the current value of the STRIPS.</t>
  </si>
  <si>
    <t xml:space="preserve"> opportunity cost of firm capital for Month 2.</t>
  </si>
  <si>
    <t xml:space="preserve">  (not a cash inflow)</t>
  </si>
</sst>
</file>

<file path=xl/styles.xml><?xml version="1.0" encoding="utf-8"?>
<styleSheet xmlns="http://schemas.openxmlformats.org/spreadsheetml/2006/main" xmlns:mc="http://schemas.openxmlformats.org/markup-compatibility/2006" xmlns:x14ac="http://schemas.microsoft.com/office/spreadsheetml/2009/9/ac" mc:Ignorable="x14ac">
  <fonts count="2" x14ac:knownFonts="1">
    <font>
      <sz val="12"/>
      <color theme="1"/>
      <name val="Calibri"/>
      <family val="2"/>
      <scheme val="minor"/>
    </font>
    <font>
      <b/>
      <sz val="12"/>
      <color theme="1"/>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4">
    <xf numFmtId="0" fontId="0" fillId="0" borderId="0" xfId="0"/>
    <xf numFmtId="14" fontId="0" fillId="0" borderId="0" xfId="0" applyNumberFormat="1"/>
    <xf numFmtId="3" fontId="0" fillId="0" borderId="0" xfId="0" applyNumberFormat="1"/>
    <xf numFmtId="3" fontId="1" fillId="0" borderId="0" xfId="0" applyNumberFormat="1"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7"/>
  <sheetViews>
    <sheetView tabSelected="1" topLeftCell="A55" zoomScale="170" zoomScaleNormal="170" workbookViewId="0">
      <selection activeCell="E63" sqref="E63"/>
    </sheetView>
  </sheetViews>
  <sheetFormatPr defaultColWidth="11" defaultRowHeight="15.75" x14ac:dyDescent="0.25"/>
  <cols>
    <col min="5" max="5" width="18.375" bestFit="1" customWidth="1"/>
  </cols>
  <sheetData>
    <row r="1" spans="1:18" x14ac:dyDescent="0.25">
      <c r="A1" t="s">
        <v>0</v>
      </c>
    </row>
    <row r="3" spans="1:18" x14ac:dyDescent="0.25">
      <c r="A3" t="s">
        <v>1</v>
      </c>
    </row>
    <row r="5" spans="1:18" x14ac:dyDescent="0.25">
      <c r="A5" t="s">
        <v>2</v>
      </c>
      <c r="O5" t="s">
        <v>11</v>
      </c>
    </row>
    <row r="6" spans="1:18" x14ac:dyDescent="0.25">
      <c r="B6" t="s">
        <v>3</v>
      </c>
      <c r="C6" s="2">
        <v>10000000</v>
      </c>
      <c r="D6" t="s">
        <v>4</v>
      </c>
      <c r="F6" s="1">
        <v>47894</v>
      </c>
      <c r="G6" t="s">
        <v>5</v>
      </c>
      <c r="J6" s="1">
        <v>42322</v>
      </c>
      <c r="K6" t="s">
        <v>7</v>
      </c>
      <c r="L6" t="s">
        <v>6</v>
      </c>
      <c r="O6" t="s">
        <v>8</v>
      </c>
      <c r="P6" t="s">
        <v>9</v>
      </c>
      <c r="Q6" t="s">
        <v>10</v>
      </c>
      <c r="R6">
        <v>11.25</v>
      </c>
    </row>
    <row r="7" spans="1:18" x14ac:dyDescent="0.25">
      <c r="O7">
        <v>71.355000000000004</v>
      </c>
      <c r="P7">
        <v>71.385000000000005</v>
      </c>
    </row>
    <row r="8" spans="1:18" x14ac:dyDescent="0.25">
      <c r="N8" t="s">
        <v>130</v>
      </c>
      <c r="O8">
        <f>LN(O7/100)/-R6</f>
        <v>3.0000245994287723E-2</v>
      </c>
      <c r="P8">
        <f>LN(P7/100)/-R6</f>
        <v>2.9962882021947357E-2</v>
      </c>
    </row>
    <row r="9" spans="1:18" x14ac:dyDescent="0.25">
      <c r="B9" t="s">
        <v>12</v>
      </c>
      <c r="D9" s="2">
        <f>C6*P7/100</f>
        <v>7138500</v>
      </c>
    </row>
    <row r="10" spans="1:18" x14ac:dyDescent="0.25">
      <c r="J10" t="s">
        <v>15</v>
      </c>
      <c r="K10" t="s">
        <v>9</v>
      </c>
    </row>
    <row r="11" spans="1:18" x14ac:dyDescent="0.25">
      <c r="B11" t="s">
        <v>13</v>
      </c>
      <c r="I11" t="s">
        <v>14</v>
      </c>
      <c r="J11">
        <v>2.4E-2</v>
      </c>
      <c r="K11">
        <v>2.4500000000000001E-2</v>
      </c>
    </row>
    <row r="14" spans="1:18" x14ac:dyDescent="0.25">
      <c r="B14" t="s">
        <v>16</v>
      </c>
    </row>
    <row r="15" spans="1:18" x14ac:dyDescent="0.25">
      <c r="B15" t="s">
        <v>17</v>
      </c>
    </row>
    <row r="16" spans="1:18" x14ac:dyDescent="0.25">
      <c r="B16" t="s">
        <v>18</v>
      </c>
    </row>
    <row r="18" spans="1:16" x14ac:dyDescent="0.25">
      <c r="B18" t="s">
        <v>19</v>
      </c>
    </row>
    <row r="21" spans="1:16" x14ac:dyDescent="0.25">
      <c r="B21" t="s">
        <v>22</v>
      </c>
      <c r="O21">
        <v>71.75</v>
      </c>
      <c r="P21">
        <v>71.814999999999998</v>
      </c>
    </row>
    <row r="22" spans="1:16" x14ac:dyDescent="0.25">
      <c r="B22" t="s">
        <v>20</v>
      </c>
      <c r="D22" s="2">
        <f>C6*O21/100</f>
        <v>7175000</v>
      </c>
    </row>
    <row r="23" spans="1:16" x14ac:dyDescent="0.25">
      <c r="B23" t="s">
        <v>21</v>
      </c>
    </row>
    <row r="24" spans="1:16" x14ac:dyDescent="0.25">
      <c r="B24" t="s">
        <v>23</v>
      </c>
    </row>
    <row r="25" spans="1:16" x14ac:dyDescent="0.25">
      <c r="B25" t="s">
        <v>24</v>
      </c>
      <c r="H25" s="2">
        <f>31/360*K11*D9</f>
        <v>15060.252083333335</v>
      </c>
      <c r="I25" t="s">
        <v>25</v>
      </c>
      <c r="L25" s="2">
        <f>H25+D9</f>
        <v>7153560.2520833332</v>
      </c>
      <c r="M25" t="s">
        <v>26</v>
      </c>
    </row>
    <row r="27" spans="1:16" x14ac:dyDescent="0.25">
      <c r="B27" t="s">
        <v>27</v>
      </c>
      <c r="F27" s="2">
        <f>D22-L25</f>
        <v>21439.747916666791</v>
      </c>
    </row>
    <row r="28" spans="1:16" x14ac:dyDescent="0.25">
      <c r="A28" t="s">
        <v>70</v>
      </c>
    </row>
    <row r="29" spans="1:16" x14ac:dyDescent="0.25">
      <c r="D29" t="s">
        <v>71</v>
      </c>
      <c r="E29">
        <v>0</v>
      </c>
      <c r="F29">
        <f>1/12</f>
        <v>8.3333333333333329E-2</v>
      </c>
    </row>
    <row r="30" spans="1:16" x14ac:dyDescent="0.25">
      <c r="D30" t="s">
        <v>72</v>
      </c>
      <c r="E30">
        <v>0</v>
      </c>
      <c r="F30" s="2">
        <f>F27</f>
        <v>21439.747916666791</v>
      </c>
    </row>
    <row r="39" spans="1:18" x14ac:dyDescent="0.25">
      <c r="A39" t="s">
        <v>28</v>
      </c>
    </row>
    <row r="40" spans="1:18" x14ac:dyDescent="0.25">
      <c r="O40" t="s">
        <v>15</v>
      </c>
      <c r="P40" t="s">
        <v>9</v>
      </c>
      <c r="Q40" t="s">
        <v>30</v>
      </c>
      <c r="R40">
        <v>10</v>
      </c>
    </row>
    <row r="41" spans="1:18" x14ac:dyDescent="0.25">
      <c r="B41" t="s">
        <v>3</v>
      </c>
      <c r="C41" s="2">
        <v>100000000</v>
      </c>
      <c r="D41" t="s">
        <v>29</v>
      </c>
      <c r="O41">
        <v>72.56</v>
      </c>
      <c r="P41">
        <v>72.62</v>
      </c>
    </row>
    <row r="42" spans="1:18" x14ac:dyDescent="0.25">
      <c r="C42" t="s">
        <v>31</v>
      </c>
      <c r="E42" s="2">
        <f>C41*P41/100</f>
        <v>72620000</v>
      </c>
      <c r="N42" t="s">
        <v>129</v>
      </c>
      <c r="O42">
        <f>LN(100/O41)/$R$40</f>
        <v>3.2075638018121015E-2</v>
      </c>
      <c r="P42">
        <f>LN(100/P41)/$R$40</f>
        <v>3.1992982000190164E-2</v>
      </c>
    </row>
    <row r="43" spans="1:18" x14ac:dyDescent="0.25">
      <c r="N43" t="s">
        <v>14</v>
      </c>
      <c r="O43">
        <v>2.1999999999999999E-2</v>
      </c>
      <c r="P43">
        <v>2.2599999999999999E-2</v>
      </c>
    </row>
    <row r="44" spans="1:18" x14ac:dyDescent="0.25">
      <c r="B44" t="s">
        <v>32</v>
      </c>
    </row>
    <row r="45" spans="1:18" x14ac:dyDescent="0.25">
      <c r="B45" t="s">
        <v>33</v>
      </c>
    </row>
    <row r="48" spans="1:18" x14ac:dyDescent="0.25">
      <c r="B48" t="s">
        <v>34</v>
      </c>
      <c r="F48" t="s">
        <v>35</v>
      </c>
      <c r="O48">
        <v>69.98</v>
      </c>
      <c r="P48">
        <v>70.02</v>
      </c>
      <c r="R48">
        <f>9+11/12</f>
        <v>9.9166666666666661</v>
      </c>
    </row>
    <row r="49" spans="2:17" x14ac:dyDescent="0.25">
      <c r="B49" t="s">
        <v>36</v>
      </c>
      <c r="D49" s="2">
        <f>-P43*30/360*E42</f>
        <v>-136767.66666666666</v>
      </c>
      <c r="E49" t="s">
        <v>37</v>
      </c>
      <c r="N49" t="s">
        <v>129</v>
      </c>
      <c r="O49">
        <f>LN(100/O48)/$R48</f>
        <v>3.5996036878845325E-2</v>
      </c>
      <c r="P49">
        <f>LN(100/P48)/$R48</f>
        <v>3.593841382805766E-2</v>
      </c>
    </row>
    <row r="50" spans="2:17" x14ac:dyDescent="0.25">
      <c r="D50" s="2">
        <f>-E42</f>
        <v>-72620000</v>
      </c>
      <c r="E50" t="s">
        <v>38</v>
      </c>
      <c r="N50" t="s">
        <v>14</v>
      </c>
      <c r="O50">
        <v>2.5999999999999999E-2</v>
      </c>
      <c r="P50">
        <v>2.6599999999999999E-2</v>
      </c>
    </row>
    <row r="52" spans="2:17" x14ac:dyDescent="0.25">
      <c r="B52" t="s">
        <v>39</v>
      </c>
      <c r="I52" s="2">
        <f>P48/100*C41</f>
        <v>70020000</v>
      </c>
      <c r="J52" t="s">
        <v>40</v>
      </c>
    </row>
    <row r="53" spans="2:17" x14ac:dyDescent="0.25">
      <c r="B53" t="s">
        <v>41</v>
      </c>
      <c r="E53" s="2">
        <f>-D50-D49-I52</f>
        <v>2736767.6666666716</v>
      </c>
      <c r="F53" t="s">
        <v>42</v>
      </c>
      <c r="O53" t="s">
        <v>63</v>
      </c>
    </row>
    <row r="55" spans="2:17" x14ac:dyDescent="0.25">
      <c r="B55" t="s">
        <v>56</v>
      </c>
      <c r="O55">
        <v>68.75</v>
      </c>
      <c r="P55">
        <v>68.8</v>
      </c>
    </row>
    <row r="56" spans="2:17" x14ac:dyDescent="0.25">
      <c r="B56" t="s">
        <v>43</v>
      </c>
      <c r="E56" s="2">
        <f>C41*O55/100</f>
        <v>68750000</v>
      </c>
    </row>
    <row r="57" spans="2:17" x14ac:dyDescent="0.25">
      <c r="B57" t="s">
        <v>44</v>
      </c>
      <c r="E57" s="2">
        <f>I52*30/360*P50</f>
        <v>155211</v>
      </c>
      <c r="F57" t="s">
        <v>37</v>
      </c>
    </row>
    <row r="58" spans="2:17" x14ac:dyDescent="0.25">
      <c r="E58" s="2">
        <f>I52</f>
        <v>70020000</v>
      </c>
      <c r="F58" t="s">
        <v>45</v>
      </c>
    </row>
    <row r="59" spans="2:17" x14ac:dyDescent="0.25">
      <c r="E59" s="2">
        <f>E56-E58-E57</f>
        <v>-1425211</v>
      </c>
      <c r="F59" t="s">
        <v>46</v>
      </c>
    </row>
    <row r="62" spans="2:17" x14ac:dyDescent="0.25">
      <c r="B62" t="s">
        <v>47</v>
      </c>
      <c r="H62" s="2">
        <f>E53*(EXP(30/365.25*P62)-1)</f>
        <v>18042.078532311185</v>
      </c>
      <c r="N62" t="s">
        <v>48</v>
      </c>
      <c r="P62">
        <v>0.08</v>
      </c>
      <c r="Q62" t="s">
        <v>49</v>
      </c>
    </row>
    <row r="63" spans="2:17" x14ac:dyDescent="0.25">
      <c r="B63" t="s">
        <v>73</v>
      </c>
      <c r="E63" s="3">
        <f>H62-E59+E53</f>
        <v>4180020.7451989828</v>
      </c>
    </row>
    <row r="65" spans="1:6" x14ac:dyDescent="0.25">
      <c r="A65" t="s">
        <v>66</v>
      </c>
    </row>
    <row r="66" spans="1:6" x14ac:dyDescent="0.25">
      <c r="D66" t="s">
        <v>67</v>
      </c>
      <c r="F66">
        <f>(O55-P41)*C41/100</f>
        <v>-3870000.0000000047</v>
      </c>
    </row>
    <row r="67" spans="1:6" x14ac:dyDescent="0.25">
      <c r="D67" t="s">
        <v>68</v>
      </c>
      <c r="F67" s="2">
        <f>D49-E57</f>
        <v>-291978.66666666663</v>
      </c>
    </row>
    <row r="68" spans="1:6" x14ac:dyDescent="0.25">
      <c r="D68" t="s">
        <v>69</v>
      </c>
      <c r="F68" s="2">
        <f>-H62</f>
        <v>-18042.078532311185</v>
      </c>
    </row>
    <row r="69" spans="1:6" x14ac:dyDescent="0.25">
      <c r="F69" s="3">
        <f>SUM(F66:F68)</f>
        <v>-4180020.7451989823</v>
      </c>
    </row>
    <row r="70" spans="1:6" x14ac:dyDescent="0.25">
      <c r="A70" t="s">
        <v>74</v>
      </c>
    </row>
    <row r="71" spans="1:6" x14ac:dyDescent="0.25">
      <c r="B71" t="s">
        <v>71</v>
      </c>
      <c r="C71">
        <v>0</v>
      </c>
      <c r="D71">
        <f>1/12</f>
        <v>8.3333333333333329E-2</v>
      </c>
      <c r="E71">
        <f>2/12</f>
        <v>0.16666666666666666</v>
      </c>
    </row>
    <row r="72" spans="1:6" x14ac:dyDescent="0.25">
      <c r="B72" t="s">
        <v>75</v>
      </c>
      <c r="C72">
        <v>0</v>
      </c>
      <c r="D72" s="2">
        <f>-E53</f>
        <v>-2736767.6666666716</v>
      </c>
      <c r="E72" s="2">
        <f>E59</f>
        <v>-1425211</v>
      </c>
      <c r="F72" s="2"/>
    </row>
    <row r="73" spans="1:6" x14ac:dyDescent="0.25">
      <c r="B73" t="s">
        <v>76</v>
      </c>
    </row>
    <row r="74" spans="1:6" x14ac:dyDescent="0.25">
      <c r="B74" t="s">
        <v>77</v>
      </c>
    </row>
    <row r="75" spans="1:6" x14ac:dyDescent="0.25">
      <c r="B75" t="s">
        <v>78</v>
      </c>
    </row>
    <row r="78" spans="1:6" x14ac:dyDescent="0.25">
      <c r="A78" t="s">
        <v>50</v>
      </c>
    </row>
    <row r="80" spans="1:6" x14ac:dyDescent="0.25">
      <c r="B80" t="s">
        <v>79</v>
      </c>
    </row>
    <row r="82" spans="2:9" x14ac:dyDescent="0.25">
      <c r="B82" t="s">
        <v>51</v>
      </c>
    </row>
    <row r="83" spans="2:9" x14ac:dyDescent="0.25">
      <c r="C83" t="s">
        <v>52</v>
      </c>
      <c r="E83" s="2">
        <f>E42</f>
        <v>72620000</v>
      </c>
    </row>
    <row r="84" spans="2:9" x14ac:dyDescent="0.25">
      <c r="C84" t="s">
        <v>53</v>
      </c>
      <c r="E84" s="2">
        <f>0.98*E83</f>
        <v>71167600</v>
      </c>
    </row>
    <row r="85" spans="2:9" x14ac:dyDescent="0.25">
      <c r="C85" t="s">
        <v>54</v>
      </c>
      <c r="E85" s="2">
        <f>E83-E84</f>
        <v>1452400</v>
      </c>
      <c r="F85" t="s">
        <v>55</v>
      </c>
    </row>
    <row r="87" spans="2:9" x14ac:dyDescent="0.25">
      <c r="B87" t="s">
        <v>57</v>
      </c>
    </row>
    <row r="88" spans="2:9" x14ac:dyDescent="0.25">
      <c r="D88" s="2">
        <f>P43*30/360*E84</f>
        <v>134032.31333333332</v>
      </c>
      <c r="E88" t="s">
        <v>58</v>
      </c>
    </row>
    <row r="89" spans="2:9" x14ac:dyDescent="0.25">
      <c r="D89" s="2">
        <f>E84</f>
        <v>71167600</v>
      </c>
      <c r="E89" t="s">
        <v>59</v>
      </c>
    </row>
    <row r="91" spans="2:9" x14ac:dyDescent="0.25">
      <c r="G91" t="s">
        <v>60</v>
      </c>
      <c r="I91" s="2">
        <f>P48*0.98*C41/100</f>
        <v>68619599.999999985</v>
      </c>
    </row>
    <row r="92" spans="2:9" x14ac:dyDescent="0.25">
      <c r="D92" t="s">
        <v>61</v>
      </c>
      <c r="E92" s="2">
        <f>E84+D88-I91</f>
        <v>2682032.3133333474</v>
      </c>
      <c r="F92" t="s">
        <v>62</v>
      </c>
    </row>
    <row r="93" spans="2:9" x14ac:dyDescent="0.25">
      <c r="C93" t="s">
        <v>82</v>
      </c>
      <c r="E93" s="2"/>
      <c r="G93" s="2">
        <f>(EXP(P62*D71)-1)*E85</f>
        <v>9715.0140653777798</v>
      </c>
      <c r="H93" t="s">
        <v>83</v>
      </c>
    </row>
    <row r="94" spans="2:9" x14ac:dyDescent="0.25">
      <c r="B94" t="s">
        <v>80</v>
      </c>
      <c r="E94" s="2">
        <f>E85+E92</f>
        <v>4134432.3133333474</v>
      </c>
      <c r="F94" t="s">
        <v>81</v>
      </c>
    </row>
    <row r="96" spans="2:9" x14ac:dyDescent="0.25">
      <c r="B96" t="s">
        <v>64</v>
      </c>
    </row>
    <row r="97" spans="1:6" x14ac:dyDescent="0.25">
      <c r="B97" t="s">
        <v>43</v>
      </c>
      <c r="E97" s="2">
        <f>C41*O55/100</f>
        <v>68750000</v>
      </c>
    </row>
    <row r="98" spans="1:6" x14ac:dyDescent="0.25">
      <c r="B98" t="s">
        <v>44</v>
      </c>
      <c r="E98" s="2">
        <f>I91*30/360*P50</f>
        <v>152106.77999999997</v>
      </c>
      <c r="F98" t="s">
        <v>37</v>
      </c>
    </row>
    <row r="99" spans="1:6" x14ac:dyDescent="0.25">
      <c r="E99" s="2">
        <f>I91</f>
        <v>68619599.999999985</v>
      </c>
      <c r="F99" t="s">
        <v>65</v>
      </c>
    </row>
    <row r="101" spans="1:6" x14ac:dyDescent="0.25">
      <c r="E101" s="2">
        <f>E97-E98-E99</f>
        <v>-21706.779999986291</v>
      </c>
      <c r="F101" t="s">
        <v>134</v>
      </c>
    </row>
    <row r="102" spans="1:6" x14ac:dyDescent="0.25">
      <c r="A102" t="s">
        <v>74</v>
      </c>
    </row>
    <row r="103" spans="1:6" x14ac:dyDescent="0.25">
      <c r="B103" t="s">
        <v>71</v>
      </c>
      <c r="C103">
        <v>0</v>
      </c>
      <c r="D103">
        <f>1/12</f>
        <v>8.3333333333333329E-2</v>
      </c>
      <c r="E103">
        <f>2/12</f>
        <v>0.16666666666666666</v>
      </c>
    </row>
    <row r="104" spans="1:6" x14ac:dyDescent="0.25">
      <c r="C104" s="2">
        <f>-E85</f>
        <v>-1452400</v>
      </c>
      <c r="D104" s="2">
        <f>-E92</f>
        <v>-2682032.3133333474</v>
      </c>
      <c r="E104" s="2">
        <f>E101</f>
        <v>-21706.779999986291</v>
      </c>
    </row>
    <row r="105" spans="1:6" x14ac:dyDescent="0.25">
      <c r="A105" t="s">
        <v>84</v>
      </c>
      <c r="D105" s="2">
        <f>(EXP(P62*D71)-1)*-C104</f>
        <v>9715.0140653777798</v>
      </c>
      <c r="E105" s="2">
        <f>(EXP(P62*D71)-1)*(-D104-C104)</f>
        <v>27654.962872752592</v>
      </c>
    </row>
    <row r="107" spans="1:6" x14ac:dyDescent="0.25">
      <c r="A107" t="s">
        <v>85</v>
      </c>
      <c r="C107" s="3">
        <f>C104+D104+E104-D105-E105</f>
        <v>-4193509.0702714641</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7"/>
  <sheetViews>
    <sheetView topLeftCell="A58" zoomScale="180" zoomScaleNormal="180" workbookViewId="0">
      <selection activeCell="F62" sqref="F62"/>
    </sheetView>
  </sheetViews>
  <sheetFormatPr defaultColWidth="11" defaultRowHeight="15.75" x14ac:dyDescent="0.25"/>
  <cols>
    <col min="5" max="5" width="18.375" bestFit="1" customWidth="1"/>
  </cols>
  <sheetData>
    <row r="1" spans="1:18" x14ac:dyDescent="0.25">
      <c r="A1" t="s">
        <v>86</v>
      </c>
    </row>
    <row r="3" spans="1:18" x14ac:dyDescent="0.25">
      <c r="A3" t="s">
        <v>87</v>
      </c>
    </row>
    <row r="4" spans="1:18" x14ac:dyDescent="0.25">
      <c r="A4" t="s">
        <v>88</v>
      </c>
    </row>
    <row r="5" spans="1:18" x14ac:dyDescent="0.25">
      <c r="A5" t="s">
        <v>2</v>
      </c>
      <c r="O5" t="s">
        <v>11</v>
      </c>
    </row>
    <row r="6" spans="1:18" x14ac:dyDescent="0.25">
      <c r="B6" t="s">
        <v>89</v>
      </c>
      <c r="C6" s="2">
        <v>10000000</v>
      </c>
      <c r="D6" t="s">
        <v>4</v>
      </c>
      <c r="F6" s="1">
        <v>47894</v>
      </c>
      <c r="G6" t="s">
        <v>5</v>
      </c>
      <c r="J6" s="1">
        <v>42322</v>
      </c>
      <c r="K6" t="s">
        <v>7</v>
      </c>
      <c r="L6" t="s">
        <v>6</v>
      </c>
      <c r="O6" t="s">
        <v>8</v>
      </c>
      <c r="P6" t="s">
        <v>9</v>
      </c>
      <c r="Q6" t="s">
        <v>10</v>
      </c>
      <c r="R6">
        <v>11.25</v>
      </c>
    </row>
    <row r="7" spans="1:18" x14ac:dyDescent="0.25">
      <c r="O7">
        <v>71.355000000000004</v>
      </c>
      <c r="P7">
        <v>71.385000000000005</v>
      </c>
    </row>
    <row r="9" spans="1:18" x14ac:dyDescent="0.25">
      <c r="B9" t="s">
        <v>90</v>
      </c>
      <c r="D9" s="2">
        <f>C6*O7/100</f>
        <v>7135500</v>
      </c>
    </row>
    <row r="10" spans="1:18" x14ac:dyDescent="0.25">
      <c r="J10" t="s">
        <v>15</v>
      </c>
      <c r="K10" t="s">
        <v>9</v>
      </c>
    </row>
    <row r="11" spans="1:18" x14ac:dyDescent="0.25">
      <c r="B11" t="s">
        <v>91</v>
      </c>
      <c r="I11" t="s">
        <v>14</v>
      </c>
      <c r="J11">
        <v>2.4E-2</v>
      </c>
      <c r="K11">
        <v>2.4500000000000001E-2</v>
      </c>
    </row>
    <row r="14" spans="1:18" x14ac:dyDescent="0.25">
      <c r="B14" t="s">
        <v>92</v>
      </c>
    </row>
    <row r="15" spans="1:18" x14ac:dyDescent="0.25">
      <c r="B15" t="s">
        <v>93</v>
      </c>
    </row>
    <row r="16" spans="1:18" x14ac:dyDescent="0.25">
      <c r="B16" t="s">
        <v>94</v>
      </c>
    </row>
    <row r="17" spans="1:16" x14ac:dyDescent="0.25">
      <c r="B17" t="s">
        <v>18</v>
      </c>
    </row>
    <row r="20" spans="1:16" x14ac:dyDescent="0.25">
      <c r="B20" t="s">
        <v>22</v>
      </c>
      <c r="O20">
        <v>71.75</v>
      </c>
      <c r="P20">
        <v>71.814999999999998</v>
      </c>
    </row>
    <row r="21" spans="1:16" x14ac:dyDescent="0.25">
      <c r="B21" t="s">
        <v>95</v>
      </c>
      <c r="D21" s="2">
        <f>C6*-P20/100</f>
        <v>-7181500</v>
      </c>
    </row>
    <row r="22" spans="1:16" x14ac:dyDescent="0.25">
      <c r="B22" t="s">
        <v>21</v>
      </c>
    </row>
    <row r="23" spans="1:16" x14ac:dyDescent="0.25">
      <c r="B23" t="s">
        <v>96</v>
      </c>
    </row>
    <row r="24" spans="1:16" x14ac:dyDescent="0.25">
      <c r="B24" t="s">
        <v>97</v>
      </c>
      <c r="H24" s="2">
        <f>31/360*J11*D9</f>
        <v>14746.7</v>
      </c>
      <c r="I24" t="s">
        <v>25</v>
      </c>
      <c r="L24" s="2" t="s">
        <v>98</v>
      </c>
      <c r="M24" t="s">
        <v>99</v>
      </c>
    </row>
    <row r="25" spans="1:16" x14ac:dyDescent="0.25">
      <c r="I25" t="s">
        <v>100</v>
      </c>
    </row>
    <row r="26" spans="1:16" x14ac:dyDescent="0.25">
      <c r="B26" t="s">
        <v>101</v>
      </c>
      <c r="F26" s="3">
        <f>D21+H24+D9</f>
        <v>-31253.299999999814</v>
      </c>
    </row>
    <row r="27" spans="1:16" x14ac:dyDescent="0.25">
      <c r="A27" t="s">
        <v>70</v>
      </c>
    </row>
    <row r="28" spans="1:16" x14ac:dyDescent="0.25">
      <c r="D28" t="s">
        <v>71</v>
      </c>
      <c r="E28">
        <v>0</v>
      </c>
      <c r="F28">
        <f>1/12</f>
        <v>8.3333333333333329E-2</v>
      </c>
    </row>
    <row r="29" spans="1:16" x14ac:dyDescent="0.25">
      <c r="D29" t="s">
        <v>72</v>
      </c>
      <c r="E29">
        <v>0</v>
      </c>
      <c r="F29" s="2">
        <f>F26</f>
        <v>-31253.299999999814</v>
      </c>
    </row>
    <row r="32" spans="1:16" x14ac:dyDescent="0.25">
      <c r="A32" t="s">
        <v>102</v>
      </c>
    </row>
    <row r="33" spans="2:18" x14ac:dyDescent="0.25">
      <c r="O33" t="s">
        <v>15</v>
      </c>
      <c r="P33" t="s">
        <v>9</v>
      </c>
      <c r="Q33" t="s">
        <v>30</v>
      </c>
      <c r="R33">
        <v>10</v>
      </c>
    </row>
    <row r="34" spans="2:18" x14ac:dyDescent="0.25">
      <c r="B34" t="s">
        <v>103</v>
      </c>
      <c r="C34" s="2">
        <v>100000000</v>
      </c>
      <c r="D34" t="s">
        <v>29</v>
      </c>
      <c r="O34">
        <v>72.56</v>
      </c>
      <c r="P34">
        <v>72.62</v>
      </c>
    </row>
    <row r="35" spans="2:18" x14ac:dyDescent="0.25">
      <c r="C35" t="s">
        <v>104</v>
      </c>
      <c r="E35" s="2">
        <f>C34*O34/100</f>
        <v>72560000</v>
      </c>
    </row>
    <row r="36" spans="2:18" x14ac:dyDescent="0.25">
      <c r="N36" t="s">
        <v>14</v>
      </c>
      <c r="O36">
        <v>2.1999999999999999E-2</v>
      </c>
      <c r="P36">
        <v>2.2599999999999999E-2</v>
      </c>
    </row>
    <row r="37" spans="2:18" x14ac:dyDescent="0.25">
      <c r="B37" t="s">
        <v>105</v>
      </c>
    </row>
    <row r="38" spans="2:18" x14ac:dyDescent="0.25">
      <c r="B38" t="s">
        <v>106</v>
      </c>
    </row>
    <row r="41" spans="2:18" x14ac:dyDescent="0.25">
      <c r="B41" t="s">
        <v>34</v>
      </c>
      <c r="F41" t="s">
        <v>131</v>
      </c>
      <c r="O41">
        <v>69.98</v>
      </c>
      <c r="P41">
        <v>70.02</v>
      </c>
    </row>
    <row r="42" spans="2:18" x14ac:dyDescent="0.25">
      <c r="B42" t="s">
        <v>36</v>
      </c>
      <c r="D42" s="2">
        <f>O36*30/360*E35</f>
        <v>133026.66666666666</v>
      </c>
      <c r="E42" t="s">
        <v>107</v>
      </c>
      <c r="N42" t="s">
        <v>14</v>
      </c>
      <c r="O42">
        <v>2.5999999999999999E-2</v>
      </c>
      <c r="P42">
        <v>2.6599999999999999E-2</v>
      </c>
    </row>
    <row r="43" spans="2:18" x14ac:dyDescent="0.25">
      <c r="D43" s="2">
        <f>E35</f>
        <v>72560000</v>
      </c>
      <c r="E43" t="s">
        <v>38</v>
      </c>
    </row>
    <row r="45" spans="2:18" x14ac:dyDescent="0.25">
      <c r="B45" t="s">
        <v>132</v>
      </c>
      <c r="I45" s="2">
        <f>O41/100*C34</f>
        <v>69980000.000000015</v>
      </c>
      <c r="J45" t="s">
        <v>133</v>
      </c>
    </row>
    <row r="46" spans="2:18" x14ac:dyDescent="0.25">
      <c r="B46" t="s">
        <v>108</v>
      </c>
      <c r="E46" s="2"/>
      <c r="F46" s="2">
        <f>D42+D43-I45</f>
        <v>2713026.6666666567</v>
      </c>
    </row>
    <row r="48" spans="2:18" x14ac:dyDescent="0.25">
      <c r="B48" t="s">
        <v>56</v>
      </c>
      <c r="O48">
        <v>68.75</v>
      </c>
      <c r="P48">
        <v>68.8</v>
      </c>
    </row>
    <row r="49" spans="1:17" x14ac:dyDescent="0.25">
      <c r="B49" t="s">
        <v>109</v>
      </c>
      <c r="E49" s="2">
        <f>-C34*P48/100</f>
        <v>-68800000</v>
      </c>
    </row>
    <row r="50" spans="1:17" x14ac:dyDescent="0.25">
      <c r="B50" t="s">
        <v>110</v>
      </c>
      <c r="E50" s="2">
        <f>I45*30/360*O42</f>
        <v>151623.33333333337</v>
      </c>
      <c r="F50" t="s">
        <v>107</v>
      </c>
    </row>
    <row r="51" spans="1:17" x14ac:dyDescent="0.25">
      <c r="E51" s="2">
        <f>I45</f>
        <v>69980000.000000015</v>
      </c>
      <c r="F51" t="s">
        <v>45</v>
      </c>
    </row>
    <row r="52" spans="1:17" x14ac:dyDescent="0.25">
      <c r="E52" s="2">
        <f>E49+E51+E50</f>
        <v>1331623.3333333484</v>
      </c>
      <c r="F52" t="s">
        <v>111</v>
      </c>
    </row>
    <row r="55" spans="1:17" x14ac:dyDescent="0.25">
      <c r="B55" t="s">
        <v>112</v>
      </c>
      <c r="H55" s="2">
        <f>(EXP(P55*(1/12))-1)*F46</f>
        <v>18147.268126144012</v>
      </c>
      <c r="N55" t="s">
        <v>48</v>
      </c>
      <c r="P55">
        <v>0.08</v>
      </c>
      <c r="Q55" t="s">
        <v>49</v>
      </c>
    </row>
    <row r="56" spans="1:17" x14ac:dyDescent="0.25">
      <c r="B56" t="s">
        <v>113</v>
      </c>
      <c r="E56" s="3">
        <f>F46+E52+H55</f>
        <v>4062797.2681261492</v>
      </c>
    </row>
    <row r="58" spans="1:17" x14ac:dyDescent="0.25">
      <c r="A58" t="s">
        <v>114</v>
      </c>
    </row>
    <row r="59" spans="1:17" x14ac:dyDescent="0.25">
      <c r="D59" t="s">
        <v>115</v>
      </c>
      <c r="F59" s="2">
        <f>(O34-P48)*C34/100</f>
        <v>3760000.0000000056</v>
      </c>
    </row>
    <row r="60" spans="1:17" x14ac:dyDescent="0.25">
      <c r="D60" t="s">
        <v>116</v>
      </c>
      <c r="F60" s="2">
        <f>D42+E50</f>
        <v>284650</v>
      </c>
    </row>
    <row r="61" spans="1:17" x14ac:dyDescent="0.25">
      <c r="D61" t="s">
        <v>69</v>
      </c>
      <c r="F61" s="2">
        <f>H55</f>
        <v>18147.268126144012</v>
      </c>
    </row>
    <row r="62" spans="1:17" x14ac:dyDescent="0.25">
      <c r="F62" s="3">
        <f>SUM(F59:F61)</f>
        <v>4062797.2681261497</v>
      </c>
    </row>
    <row r="63" spans="1:17" x14ac:dyDescent="0.25">
      <c r="A63" t="s">
        <v>74</v>
      </c>
    </row>
    <row r="64" spans="1:17" x14ac:dyDescent="0.25">
      <c r="B64" t="s">
        <v>71</v>
      </c>
      <c r="C64">
        <v>0</v>
      </c>
      <c r="D64">
        <f>1/12</f>
        <v>8.3333333333333329E-2</v>
      </c>
      <c r="E64">
        <f>2/12</f>
        <v>0.16666666666666666</v>
      </c>
    </row>
    <row r="65" spans="1:6" x14ac:dyDescent="0.25">
      <c r="B65" t="s">
        <v>75</v>
      </c>
      <c r="C65">
        <v>0</v>
      </c>
      <c r="D65" s="2">
        <f>F46</f>
        <v>2713026.6666666567</v>
      </c>
      <c r="E65" s="2">
        <f>E52</f>
        <v>1331623.3333333484</v>
      </c>
      <c r="F65" s="2"/>
    </row>
    <row r="66" spans="1:6" x14ac:dyDescent="0.25">
      <c r="B66" t="s">
        <v>117</v>
      </c>
    </row>
    <row r="68" spans="1:6" x14ac:dyDescent="0.25">
      <c r="A68" t="s">
        <v>50</v>
      </c>
    </row>
    <row r="70" spans="1:6" x14ac:dyDescent="0.25">
      <c r="B70" t="s">
        <v>118</v>
      </c>
    </row>
    <row r="72" spans="1:6" x14ac:dyDescent="0.25">
      <c r="B72" t="s">
        <v>119</v>
      </c>
    </row>
    <row r="73" spans="1:6" x14ac:dyDescent="0.25">
      <c r="C73" t="s">
        <v>120</v>
      </c>
      <c r="E73" s="2">
        <f>E35</f>
        <v>72560000</v>
      </c>
    </row>
    <row r="74" spans="1:6" x14ac:dyDescent="0.25">
      <c r="C74" t="s">
        <v>53</v>
      </c>
      <c r="E74" s="2">
        <f>1.02*E73</f>
        <v>74011200</v>
      </c>
    </row>
    <row r="75" spans="1:6" x14ac:dyDescent="0.25">
      <c r="C75" t="s">
        <v>54</v>
      </c>
      <c r="E75" s="2">
        <f>E74-E73</f>
        <v>1451200</v>
      </c>
      <c r="F75" t="s">
        <v>121</v>
      </c>
    </row>
    <row r="77" spans="1:6" x14ac:dyDescent="0.25">
      <c r="B77" t="s">
        <v>57</v>
      </c>
    </row>
    <row r="78" spans="1:6" x14ac:dyDescent="0.25">
      <c r="D78" s="2">
        <f>O36*30/360*E74</f>
        <v>135687.19999999998</v>
      </c>
      <c r="E78" t="s">
        <v>122</v>
      </c>
    </row>
    <row r="79" spans="1:6" x14ac:dyDescent="0.25">
      <c r="D79" s="2">
        <f>E74</f>
        <v>74011200</v>
      </c>
      <c r="E79" t="s">
        <v>59</v>
      </c>
    </row>
    <row r="81" spans="1:10" x14ac:dyDescent="0.25">
      <c r="G81" t="s">
        <v>60</v>
      </c>
      <c r="I81" s="2">
        <f>O41*1.02*C34/100</f>
        <v>71379600.000000015</v>
      </c>
      <c r="J81" t="s">
        <v>124</v>
      </c>
    </row>
    <row r="82" spans="1:10" x14ac:dyDescent="0.25">
      <c r="E82" s="2">
        <f>E74+D78-I81</f>
        <v>2767287.1999999881</v>
      </c>
      <c r="F82" t="s">
        <v>123</v>
      </c>
    </row>
    <row r="83" spans="1:10" x14ac:dyDescent="0.25">
      <c r="C83" t="s">
        <v>125</v>
      </c>
      <c r="E83" s="2"/>
      <c r="F83" s="2">
        <f>E82-E75</f>
        <v>1316087.1999999881</v>
      </c>
    </row>
    <row r="84" spans="1:10" x14ac:dyDescent="0.25">
      <c r="C84" t="s">
        <v>82</v>
      </c>
      <c r="E84" s="2"/>
      <c r="G84" s="2">
        <f>(EXP(P55*D64)-1)*E75</f>
        <v>9706.987339352956</v>
      </c>
      <c r="H84" t="s">
        <v>135</v>
      </c>
    </row>
    <row r="86" spans="1:10" x14ac:dyDescent="0.25">
      <c r="B86" t="s">
        <v>64</v>
      </c>
    </row>
    <row r="87" spans="1:10" x14ac:dyDescent="0.25">
      <c r="B87" t="s">
        <v>109</v>
      </c>
      <c r="F87" s="2">
        <f>-C34*P48/100</f>
        <v>-68800000</v>
      </c>
    </row>
    <row r="88" spans="1:10" x14ac:dyDescent="0.25">
      <c r="B88" t="s">
        <v>126</v>
      </c>
      <c r="F88" s="2">
        <f>I81*30/360*O42</f>
        <v>154655.80000000002</v>
      </c>
      <c r="G88" t="s">
        <v>107</v>
      </c>
    </row>
    <row r="89" spans="1:10" x14ac:dyDescent="0.25">
      <c r="F89" s="2">
        <f>I81</f>
        <v>71379600.000000015</v>
      </c>
      <c r="G89" t="s">
        <v>65</v>
      </c>
    </row>
    <row r="91" spans="1:10" x14ac:dyDescent="0.25">
      <c r="E91" s="2">
        <f>F89+F88+F87</f>
        <v>2734255.8000000119</v>
      </c>
    </row>
    <row r="92" spans="1:10" x14ac:dyDescent="0.25">
      <c r="A92" t="s">
        <v>74</v>
      </c>
    </row>
    <row r="93" spans="1:10" x14ac:dyDescent="0.25">
      <c r="B93" t="s">
        <v>71</v>
      </c>
      <c r="C93">
        <v>0</v>
      </c>
      <c r="D93">
        <f>1/12</f>
        <v>8.3333333333333329E-2</v>
      </c>
      <c r="E93">
        <f>2/12</f>
        <v>0.16666666666666666</v>
      </c>
    </row>
    <row r="94" spans="1:10" x14ac:dyDescent="0.25">
      <c r="A94" t="s">
        <v>128</v>
      </c>
      <c r="C94" s="2">
        <f>-E75</f>
        <v>-1451200</v>
      </c>
      <c r="D94" s="2">
        <f>E82</f>
        <v>2767287.1999999881</v>
      </c>
      <c r="E94" s="2">
        <f>E91</f>
        <v>2734255.8000000119</v>
      </c>
    </row>
    <row r="95" spans="1:10" x14ac:dyDescent="0.25">
      <c r="A95" t="s">
        <v>127</v>
      </c>
      <c r="D95" s="2">
        <f>(EXP(P55*D64)-1)*C94</f>
        <v>-9706.987339352956</v>
      </c>
      <c r="E95" s="2">
        <f>(EXP(P55*D64)-1)*(D94+C94)</f>
        <v>8803.2261493139249</v>
      </c>
    </row>
    <row r="97" spans="1:3" x14ac:dyDescent="0.25">
      <c r="A97" t="s">
        <v>85</v>
      </c>
      <c r="C97" s="3">
        <f>C94+D94+E94+D95+E95</f>
        <v>4049439.2388099609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Long</vt:lpstr>
      <vt:lpstr>Short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Christopher Lamoureux</cp:lastModifiedBy>
  <dcterms:created xsi:type="dcterms:W3CDTF">2019-09-14T17:21:10Z</dcterms:created>
  <dcterms:modified xsi:type="dcterms:W3CDTF">2019-09-16T17:57:44Z</dcterms:modified>
</cp:coreProperties>
</file>