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mlap/Downloads/"/>
    </mc:Choice>
  </mc:AlternateContent>
  <xr:revisionPtr revIDLastSave="0" documentId="13_ncr:1_{8690F5E5-2113-5642-AC0A-D4AD922C38E3}" xr6:coauthVersionLast="47" xr6:coauthVersionMax="47" xr10:uidLastSave="{00000000-0000-0000-0000-000000000000}"/>
  <bookViews>
    <workbookView xWindow="0" yWindow="500" windowWidth="31080" windowHeight="15600" tabRatio="500" activeTab="4" xr2:uid="{00000000-000D-0000-FFFF-FFFF00000000}"/>
  </bookViews>
  <sheets>
    <sheet name="Trade" sheetId="1" r:id="rId1"/>
    <sheet name="Playout" sheetId="2" r:id="rId2"/>
    <sheet name="Liquidation" sheetId="3" r:id="rId3"/>
    <sheet name="Swap Value" sheetId="5" r:id="rId4"/>
    <sheet name="Collateral" sheetId="4" r:id="rId5"/>
  </sheets>
  <definedNames>
    <definedName name="solver_adj" localSheetId="0" hidden="1">Trade!$B$15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Trade!$E$19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9" i="4" l="1"/>
  <c r="C12" i="4" l="1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B5" i="2"/>
  <c r="B12" i="4"/>
  <c r="C23" i="3"/>
  <c r="K22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K13" i="5"/>
  <c r="K12" i="5"/>
  <c r="K11" i="5"/>
  <c r="K10" i="5"/>
  <c r="K9" i="5"/>
  <c r="K8" i="5"/>
  <c r="K7" i="5"/>
  <c r="J13" i="5"/>
  <c r="J12" i="5"/>
  <c r="J11" i="5"/>
  <c r="J10" i="5"/>
  <c r="J9" i="5"/>
  <c r="J8" i="5"/>
  <c r="J7" i="5"/>
  <c r="C7" i="5"/>
  <c r="B6" i="5"/>
  <c r="E10" i="5" l="1"/>
  <c r="F10" i="5" s="1"/>
  <c r="C9" i="5"/>
  <c r="E9" i="5"/>
  <c r="F9" i="5" s="1"/>
  <c r="L8" i="5" s="1"/>
  <c r="M8" i="5" s="1"/>
  <c r="E8" i="5"/>
  <c r="F8" i="5" s="1"/>
  <c r="C8" i="5"/>
  <c r="C10" i="5"/>
  <c r="E11" i="5"/>
  <c r="F11" i="5" s="1"/>
  <c r="L9" i="5" s="1"/>
  <c r="M9" i="5" s="1"/>
  <c r="E12" i="5" l="1"/>
  <c r="F12" i="5" s="1"/>
  <c r="C11" i="5"/>
  <c r="E13" i="5" l="1"/>
  <c r="F13" i="5" s="1"/>
  <c r="L10" i="5" s="1"/>
  <c r="M10" i="5" s="1"/>
  <c r="C12" i="5"/>
  <c r="C13" i="5" l="1"/>
  <c r="E14" i="5"/>
  <c r="F14" i="5" s="1"/>
  <c r="L11" i="5" s="1"/>
  <c r="M11" i="5" s="1"/>
  <c r="C14" i="5" l="1"/>
  <c r="C15" i="5" l="1"/>
  <c r="C16" i="5" l="1"/>
  <c r="E18" i="5" l="1"/>
  <c r="F18" i="5" s="1"/>
  <c r="C17" i="5"/>
  <c r="C18" i="5" l="1"/>
  <c r="C19" i="5" l="1"/>
  <c r="N10" i="2" l="1"/>
  <c r="N8" i="2"/>
  <c r="N14" i="2"/>
  <c r="E14" i="2"/>
  <c r="D14" i="2"/>
  <c r="E13" i="2"/>
  <c r="F13" i="2"/>
  <c r="F14" i="2" s="1"/>
  <c r="G14" i="2" s="1"/>
  <c r="H14" i="2" s="1"/>
  <c r="I14" i="2" s="1"/>
  <c r="J14" i="2" s="1"/>
  <c r="K14" i="2" s="1"/>
  <c r="L14" i="2" s="1"/>
  <c r="M14" i="2" s="1"/>
  <c r="G13" i="2"/>
  <c r="H13" i="2"/>
  <c r="I13" i="2"/>
  <c r="J13" i="2"/>
  <c r="K13" i="2"/>
  <c r="L13" i="2"/>
  <c r="M13" i="2"/>
  <c r="N13" i="2"/>
  <c r="P13" i="2"/>
  <c r="Q13" i="2"/>
  <c r="R13" i="2"/>
  <c r="S13" i="2"/>
  <c r="T13" i="2"/>
  <c r="U13" i="2"/>
  <c r="V13" i="2"/>
  <c r="D13" i="2" l="1"/>
  <c r="V10" i="2"/>
  <c r="T10" i="2"/>
  <c r="R10" i="2"/>
  <c r="P10" i="2"/>
  <c r="L10" i="2"/>
  <c r="J10" i="2"/>
  <c r="H10" i="2"/>
  <c r="F10" i="2"/>
  <c r="D10" i="2"/>
  <c r="B20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H5" i="2"/>
  <c r="G5" i="2"/>
  <c r="E5" i="2"/>
  <c r="F5" i="2"/>
  <c r="D5" i="2"/>
  <c r="C5" i="2"/>
  <c r="G5" i="1"/>
  <c r="D5" i="1"/>
  <c r="J13" i="1" s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B4" i="2"/>
  <c r="F22" i="1"/>
  <c r="K13" i="1"/>
  <c r="L13" i="1"/>
  <c r="F12" i="1"/>
  <c r="F13" i="1" s="1"/>
  <c r="G12" i="1"/>
  <c r="G13" i="1" s="1"/>
  <c r="H12" i="1"/>
  <c r="H13" i="1" s="1"/>
  <c r="I12" i="1"/>
  <c r="I13" i="1" s="1"/>
  <c r="J12" i="1"/>
  <c r="K12" i="1"/>
  <c r="L12" i="1"/>
  <c r="E12" i="1"/>
  <c r="D12" i="1"/>
  <c r="C12" i="1"/>
  <c r="D11" i="1"/>
  <c r="E11" i="1"/>
  <c r="F11" i="1"/>
  <c r="G11" i="1"/>
  <c r="H11" i="1"/>
  <c r="I11" i="1"/>
  <c r="J11" i="1"/>
  <c r="K11" i="1"/>
  <c r="L11" i="1"/>
  <c r="C11" i="1"/>
  <c r="B5" i="1"/>
  <c r="C13" i="1" l="1"/>
  <c r="D13" i="1"/>
  <c r="E13" i="1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U20" i="4"/>
  <c r="T20" i="4"/>
  <c r="T22" i="4" s="1"/>
  <c r="S20" i="4"/>
  <c r="S21" i="4"/>
  <c r="S22" i="4" s="1"/>
  <c r="R20" i="4"/>
  <c r="R22" i="4"/>
  <c r="Q20" i="4"/>
  <c r="P20" i="4"/>
  <c r="P22" i="4" s="1"/>
  <c r="O20" i="4"/>
  <c r="N20" i="4"/>
  <c r="N22" i="4"/>
  <c r="M20" i="4"/>
  <c r="L20" i="4"/>
  <c r="L22" i="4" s="1"/>
  <c r="K20" i="4"/>
  <c r="J20" i="4"/>
  <c r="J22" i="4"/>
  <c r="I20" i="4"/>
  <c r="H20" i="4"/>
  <c r="H22" i="4" s="1"/>
  <c r="G20" i="4"/>
  <c r="F20" i="4"/>
  <c r="F22" i="4"/>
  <c r="E20" i="4"/>
  <c r="E21" i="4"/>
  <c r="D20" i="4"/>
  <c r="D22" i="4" s="1"/>
  <c r="C20" i="4"/>
  <c r="B20" i="4"/>
  <c r="B22" i="4" s="1"/>
  <c r="A17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E16" i="4"/>
  <c r="C16" i="4"/>
  <c r="A16" i="4"/>
  <c r="A15" i="4"/>
  <c r="V14" i="4"/>
  <c r="A14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13" i="4"/>
  <c r="A12" i="4"/>
  <c r="C17" i="3"/>
  <c r="H9" i="3"/>
  <c r="B7" i="2"/>
  <c r="B14" i="4" s="1"/>
  <c r="B6" i="2"/>
  <c r="B13" i="4" s="1"/>
  <c r="N11" i="2"/>
  <c r="O8" i="2"/>
  <c r="O11" i="2" s="1"/>
  <c r="P8" i="2"/>
  <c r="P11" i="2" s="1"/>
  <c r="Q8" i="2"/>
  <c r="Q11" i="2" s="1"/>
  <c r="B11" i="2"/>
  <c r="E7" i="5"/>
  <c r="F7" i="5" s="1"/>
  <c r="L7" i="5" s="1"/>
  <c r="M7" i="5" s="1"/>
  <c r="E19" i="5"/>
  <c r="F19" i="5" s="1"/>
  <c r="L13" i="5" s="1"/>
  <c r="M13" i="5" s="1"/>
  <c r="E17" i="5"/>
  <c r="F17" i="5" s="1"/>
  <c r="L12" i="5" s="1"/>
  <c r="M12" i="5" s="1"/>
  <c r="E16" i="5"/>
  <c r="F16" i="5" s="1"/>
  <c r="E15" i="5"/>
  <c r="F15" i="5" s="1"/>
  <c r="E37" i="1"/>
  <c r="C27" i="1"/>
  <c r="L16" i="1"/>
  <c r="K16" i="1"/>
  <c r="J16" i="1"/>
  <c r="I16" i="1"/>
  <c r="H16" i="1"/>
  <c r="G16" i="1"/>
  <c r="F16" i="1"/>
  <c r="E16" i="1"/>
  <c r="D16" i="1"/>
  <c r="C16" i="1"/>
  <c r="L14" i="1"/>
  <c r="K14" i="1"/>
  <c r="J14" i="1"/>
  <c r="I14" i="1"/>
  <c r="H14" i="1"/>
  <c r="G14" i="1"/>
  <c r="F14" i="1"/>
  <c r="E14" i="1"/>
  <c r="D14" i="1"/>
  <c r="C14" i="1"/>
  <c r="M15" i="5" l="1"/>
  <c r="O13" i="2"/>
  <c r="O14" i="2"/>
  <c r="P14" i="2" s="1"/>
  <c r="Q14" i="2" s="1"/>
  <c r="R14" i="2" s="1"/>
  <c r="S14" i="2" s="1"/>
  <c r="T14" i="2" s="1"/>
  <c r="U14" i="2" s="1"/>
  <c r="V14" i="2" s="1"/>
  <c r="B27" i="4"/>
  <c r="C30" i="4" s="1"/>
  <c r="C8" i="2"/>
  <c r="D8" i="2"/>
  <c r="D8" i="3" s="1"/>
  <c r="U21" i="4"/>
  <c r="U22" i="4" s="1"/>
  <c r="C17" i="1"/>
  <c r="E17" i="1"/>
  <c r="D17" i="1"/>
  <c r="G17" i="1"/>
  <c r="F17" i="1"/>
  <c r="I17" i="1"/>
  <c r="H17" i="1"/>
  <c r="C27" i="3"/>
  <c r="L8" i="2"/>
  <c r="L11" i="2" s="1"/>
  <c r="J8" i="2"/>
  <c r="J11" i="2" s="1"/>
  <c r="L17" i="1"/>
  <c r="V8" i="2"/>
  <c r="V11" i="2" s="1"/>
  <c r="I8" i="2"/>
  <c r="I11" i="2" s="1"/>
  <c r="C8" i="3"/>
  <c r="C10" i="3" s="1"/>
  <c r="K17" i="1"/>
  <c r="K8" i="2"/>
  <c r="K11" i="2" s="1"/>
  <c r="U8" i="2"/>
  <c r="U11" i="2" s="1"/>
  <c r="H8" i="2"/>
  <c r="B7" i="3"/>
  <c r="M8" i="2"/>
  <c r="M11" i="2" s="1"/>
  <c r="J17" i="1"/>
  <c r="F38" i="1"/>
  <c r="G40" i="1" s="1"/>
  <c r="T8" i="2"/>
  <c r="T11" i="2" s="1"/>
  <c r="G8" i="2"/>
  <c r="B6" i="3"/>
  <c r="F8" i="2"/>
  <c r="S8" i="2"/>
  <c r="S11" i="2" s="1"/>
  <c r="R8" i="2"/>
  <c r="R11" i="2" s="1"/>
  <c r="E8" i="2"/>
  <c r="I21" i="4"/>
  <c r="I22" i="4" s="1"/>
  <c r="E22" i="4"/>
  <c r="C21" i="4"/>
  <c r="C22" i="4" s="1"/>
  <c r="G21" i="4"/>
  <c r="G22" i="4" s="1"/>
  <c r="K21" i="4"/>
  <c r="K22" i="4" s="1"/>
  <c r="M21" i="4"/>
  <c r="M22" i="4" s="1"/>
  <c r="Q21" i="4"/>
  <c r="Q22" i="4" s="1"/>
  <c r="O21" i="4"/>
  <c r="O22" i="4" s="1"/>
  <c r="C11" i="2"/>
  <c r="S25" i="4"/>
  <c r="B25" i="4" l="1"/>
  <c r="B18" i="1"/>
  <c r="E19" i="1" s="1"/>
  <c r="Q25" i="4"/>
  <c r="I25" i="4"/>
  <c r="C25" i="4"/>
  <c r="G25" i="4"/>
  <c r="G11" i="2"/>
  <c r="G8" i="3"/>
  <c r="G10" i="3" s="1"/>
  <c r="F8" i="3"/>
  <c r="K25" i="4"/>
  <c r="E25" i="4"/>
  <c r="M25" i="4"/>
  <c r="N24" i="4" s="1"/>
  <c r="R19" i="4"/>
  <c r="S19" i="4"/>
  <c r="M19" i="4"/>
  <c r="T25" i="4"/>
  <c r="T24" i="4" s="1"/>
  <c r="Q19" i="4"/>
  <c r="D19" i="4"/>
  <c r="T19" i="4"/>
  <c r="E19" i="4"/>
  <c r="U19" i="4"/>
  <c r="F19" i="4"/>
  <c r="C19" i="4"/>
  <c r="G19" i="4"/>
  <c r="D25" i="4"/>
  <c r="H19" i="4"/>
  <c r="F25" i="4"/>
  <c r="I19" i="4"/>
  <c r="H25" i="4"/>
  <c r="I24" i="4" s="1"/>
  <c r="J19" i="4"/>
  <c r="J25" i="4"/>
  <c r="K19" i="4"/>
  <c r="L25" i="4"/>
  <c r="L19" i="4"/>
  <c r="N25" i="4"/>
  <c r="P25" i="4"/>
  <c r="R25" i="4"/>
  <c r="S24" i="4" s="1"/>
  <c r="O19" i="4"/>
  <c r="P19" i="4"/>
  <c r="N19" i="4"/>
  <c r="E8" i="3"/>
  <c r="E10" i="3" s="1"/>
  <c r="E11" i="2"/>
  <c r="U25" i="4"/>
  <c r="I8" i="3"/>
  <c r="I10" i="3" s="1"/>
  <c r="O25" i="4"/>
  <c r="P24" i="4" s="1"/>
  <c r="H11" i="2"/>
  <c r="H8" i="3"/>
  <c r="H10" i="3" s="1"/>
  <c r="C19" i="3"/>
  <c r="Q24" i="4" l="1"/>
  <c r="C15" i="4"/>
  <c r="C17" i="4" s="1"/>
  <c r="C32" i="4" s="1"/>
  <c r="C24" i="4"/>
  <c r="C27" i="4" s="1"/>
  <c r="D30" i="4" s="1"/>
  <c r="K24" i="4"/>
  <c r="G24" i="4"/>
  <c r="O24" i="4"/>
  <c r="M24" i="4"/>
  <c r="R24" i="4"/>
  <c r="E24" i="4"/>
  <c r="D24" i="4"/>
  <c r="J24" i="4"/>
  <c r="F24" i="4"/>
  <c r="L24" i="4"/>
  <c r="U24" i="4"/>
  <c r="H24" i="4"/>
  <c r="D15" i="4"/>
  <c r="C30" i="3"/>
  <c r="D27" i="4" l="1"/>
  <c r="E27" i="4"/>
  <c r="E30" i="4"/>
  <c r="E15" i="4"/>
  <c r="E17" i="4" s="1"/>
  <c r="F16" i="4"/>
  <c r="F9" i="3"/>
  <c r="F10" i="3" s="1"/>
  <c r="F11" i="2"/>
  <c r="D16" i="4"/>
  <c r="D17" i="4" s="1"/>
  <c r="D9" i="3"/>
  <c r="D10" i="3" s="1"/>
  <c r="D11" i="2"/>
  <c r="C33" i="3" l="1"/>
  <c r="F27" i="4"/>
  <c r="F30" i="4"/>
  <c r="D32" i="4"/>
  <c r="F15" i="4"/>
  <c r="F17" i="4" s="1"/>
  <c r="E32" i="4"/>
  <c r="G27" i="4" l="1"/>
  <c r="G30" i="4"/>
  <c r="F32" i="4"/>
  <c r="G15" i="4"/>
  <c r="G17" i="4" s="1"/>
  <c r="H27" i="4" l="1"/>
  <c r="I30" i="4" s="1"/>
  <c r="H30" i="4"/>
  <c r="H15" i="4"/>
  <c r="H17" i="4" s="1"/>
  <c r="G32" i="4"/>
  <c r="I27" i="4" l="1"/>
  <c r="J30" i="4" s="1"/>
  <c r="H32" i="4"/>
  <c r="I15" i="4"/>
  <c r="I17" i="4" s="1"/>
  <c r="J27" i="4" l="1"/>
  <c r="I32" i="4"/>
  <c r="J15" i="4"/>
  <c r="J17" i="4" s="1"/>
  <c r="K27" i="4" l="1"/>
  <c r="K30" i="4"/>
  <c r="J32" i="4"/>
  <c r="K15" i="4"/>
  <c r="K17" i="4" s="1"/>
  <c r="L27" i="4" l="1"/>
  <c r="L30" i="4"/>
  <c r="K32" i="4"/>
  <c r="L15" i="4"/>
  <c r="L17" i="4" s="1"/>
  <c r="M27" i="4" l="1"/>
  <c r="M30" i="4"/>
  <c r="M15" i="4"/>
  <c r="M17" i="4" s="1"/>
  <c r="L32" i="4"/>
  <c r="N27" i="4" l="1"/>
  <c r="N30" i="4"/>
  <c r="M32" i="4"/>
  <c r="N15" i="4"/>
  <c r="N17" i="4" s="1"/>
  <c r="O27" i="4" l="1"/>
  <c r="O30" i="4"/>
  <c r="N32" i="4"/>
  <c r="O15" i="4"/>
  <c r="O17" i="4" s="1"/>
  <c r="P27" i="4" l="1"/>
  <c r="P30" i="4"/>
  <c r="O32" i="4"/>
  <c r="P15" i="4"/>
  <c r="P17" i="4" s="1"/>
  <c r="Q27" i="4" l="1"/>
  <c r="Q30" i="4"/>
  <c r="P32" i="4"/>
  <c r="Q15" i="4"/>
  <c r="Q17" i="4" s="1"/>
  <c r="Q32" i="4" s="1"/>
  <c r="R27" i="4" l="1"/>
  <c r="R30" i="4"/>
  <c r="R15" i="4"/>
  <c r="R17" i="4" s="1"/>
  <c r="S27" i="4" l="1"/>
  <c r="S30" i="4"/>
  <c r="S15" i="4"/>
  <c r="S17" i="4" s="1"/>
  <c r="R32" i="4"/>
  <c r="T27" i="4" l="1"/>
  <c r="T30" i="4"/>
  <c r="S32" i="4"/>
  <c r="T15" i="4"/>
  <c r="T17" i="4" s="1"/>
  <c r="U27" i="4" l="1"/>
  <c r="U30" i="4"/>
  <c r="T32" i="4"/>
  <c r="U15" i="4"/>
  <c r="U17" i="4" s="1"/>
  <c r="V15" i="4"/>
  <c r="V17" i="4" s="1"/>
  <c r="V32" i="4" l="1"/>
  <c r="X17" i="4"/>
  <c r="U32" i="4"/>
  <c r="X32" i="4" l="1"/>
</calcChain>
</file>

<file path=xl/sharedStrings.xml><?xml version="1.0" encoding="utf-8"?>
<sst xmlns="http://schemas.openxmlformats.org/spreadsheetml/2006/main" count="144" uniqueCount="140">
  <si>
    <t>Use Solver to find ytm:</t>
  </si>
  <si>
    <t xml:space="preserve">   This low-risk convergence trade cost the firm nearly one million dollars.</t>
  </si>
  <si>
    <r>
      <t xml:space="preserve">(Adapted from Veronesi, </t>
    </r>
    <r>
      <rPr>
        <i/>
        <sz val="10"/>
        <rFont val="Verdana"/>
        <family val="2"/>
      </rPr>
      <t xml:space="preserve">Fixed Income Securities; </t>
    </r>
    <r>
      <rPr>
        <sz val="10"/>
        <rFont val="Verdana"/>
        <family val="2"/>
      </rPr>
      <t>John Wiley &amp; Sons; 2008. )</t>
    </r>
    <phoneticPr fontId="3" type="noConversion"/>
  </si>
  <si>
    <t>df</t>
    <phoneticPr fontId="3" type="noConversion"/>
  </si>
  <si>
    <t>T:</t>
    <phoneticPr fontId="3" type="noConversion"/>
  </si>
  <si>
    <t>ytm (BEY):</t>
    <phoneticPr fontId="3" type="noConversion"/>
  </si>
  <si>
    <t>PV(CF):</t>
    <phoneticPr fontId="3" type="noConversion"/>
  </si>
  <si>
    <t>5-Year Swap Rate:</t>
    <phoneticPr fontId="3" type="noConversion"/>
  </si>
  <si>
    <t>90-day Libor:</t>
    <phoneticPr fontId="3" type="noConversion"/>
  </si>
  <si>
    <t>90-day Repo:</t>
    <phoneticPr fontId="3" type="noConversion"/>
  </si>
  <si>
    <t>Swap Spread:</t>
    <phoneticPr fontId="3" type="noConversion"/>
  </si>
  <si>
    <t>Proposed trade:</t>
    <phoneticPr fontId="3" type="noConversion"/>
  </si>
  <si>
    <t>1. Enter a receive fixed - pay floating 5-year (vanilla) swap.</t>
    <phoneticPr fontId="3" type="noConversion"/>
  </si>
  <si>
    <t>2. Short the 5-year T-note, use 90-day repo.</t>
    <phoneticPr fontId="3" type="noConversion"/>
  </si>
  <si>
    <t>Risks:</t>
    <phoneticPr fontId="3" type="noConversion"/>
  </si>
  <si>
    <t>1. Note that we tend to focus on the long rates, but we also have financing exposure.</t>
    <phoneticPr fontId="3" type="noConversion"/>
  </si>
  <si>
    <t xml:space="preserve"> </t>
    <phoneticPr fontId="3" type="noConversion"/>
  </si>
  <si>
    <t xml:space="preserve">    On the financing side, we will earn the repo rate on our cash collateral (from the sale), and pay Libor on the swap.</t>
    <phoneticPr fontId="3" type="noConversion"/>
  </si>
  <si>
    <t xml:space="preserve">    So we lose .055081 - .0527 here:</t>
    <phoneticPr fontId="3" type="noConversion"/>
  </si>
  <si>
    <t>Actual Playout of 90-day rates and cash flows from trade.</t>
    <phoneticPr fontId="3" type="noConversion"/>
  </si>
  <si>
    <t>Date</t>
    <phoneticPr fontId="3" type="noConversion"/>
  </si>
  <si>
    <t>Firm cost of capital:</t>
  </si>
  <si>
    <t>Opportunity cost of</t>
  </si>
  <si>
    <t>P&amp;L:</t>
  </si>
  <si>
    <t>Discussion:</t>
  </si>
  <si>
    <t>It's hard to talk about the rate of return or even PV of a convergence trade that does not tie-up any capital.  We look at the P&amp;L and the time commitment.</t>
  </si>
  <si>
    <t>A hedge fund's capital is a valuable scarce resource.</t>
  </si>
  <si>
    <t>3-mo Libor</t>
  </si>
  <si>
    <t>3-mo Repo*</t>
  </si>
  <si>
    <t>Net Cash Flow:</t>
  </si>
  <si>
    <t>6-mo Libor:</t>
  </si>
  <si>
    <t>9-mo Libor:</t>
  </si>
  <si>
    <t>1-yr Libor:</t>
  </si>
  <si>
    <t>15-month:</t>
  </si>
  <si>
    <t>18-month</t>
  </si>
  <si>
    <t>21-month:</t>
  </si>
  <si>
    <t>2-year:</t>
  </si>
  <si>
    <t>3-year:</t>
  </si>
  <si>
    <t>2. Market Value of Swap.</t>
    <phoneticPr fontId="3" type="noConversion"/>
  </si>
  <si>
    <t>Repo*</t>
    <phoneticPr fontId="3" type="noConversion"/>
  </si>
  <si>
    <t>* Source: Bloomberg -- ICUS Ask</t>
    <phoneticPr fontId="3" type="noConversion"/>
  </si>
  <si>
    <t>$ Amount:</t>
    <phoneticPr fontId="3" type="noConversion"/>
  </si>
  <si>
    <t>Par Bonds:</t>
    <phoneticPr fontId="3" type="noConversion"/>
  </si>
  <si>
    <t>Term Cash Flow:</t>
    <phoneticPr fontId="3" type="noConversion"/>
  </si>
  <si>
    <t>Fin. Cash Flow:</t>
    <phoneticPr fontId="3" type="noConversion"/>
  </si>
  <si>
    <t>Total Cash Flow:</t>
    <phoneticPr fontId="3" type="noConversion"/>
  </si>
  <si>
    <t>Relevant features of the 5-year vanilla interest rate swap:</t>
    <phoneticPr fontId="3" type="noConversion"/>
  </si>
  <si>
    <t xml:space="preserve">   1) Floating Side:</t>
    <phoneticPr fontId="3" type="noConversion"/>
  </si>
  <si>
    <t xml:space="preserve">     Interest paid at the end of the tenor period is based on the rate at the beginnning of the period.</t>
    <phoneticPr fontId="3" type="noConversion"/>
  </si>
  <si>
    <t xml:space="preserve">     Actual / 360 is the usual convention.  Here we use 30 / 360 to simplify.</t>
    <phoneticPr fontId="3" type="noConversion"/>
  </si>
  <si>
    <t xml:space="preserve">     Tenor and reset frequencies are quarterly.</t>
    <phoneticPr fontId="3" type="noConversion"/>
  </si>
  <si>
    <t xml:space="preserve">     Reference rate must be specified.</t>
    <phoneticPr fontId="3" type="noConversion"/>
  </si>
  <si>
    <t>This will reduce the profitability of the trade.  Net:</t>
    <phoneticPr fontId="3" type="noConversion"/>
  </si>
  <si>
    <t>So if we do the trade for</t>
    <phoneticPr fontId="3" type="noConversion"/>
  </si>
  <si>
    <t xml:space="preserve"> value at these rates we will earn:</t>
    <phoneticPr fontId="3" type="noConversion"/>
  </si>
  <si>
    <t xml:space="preserve"> per year.</t>
    <phoneticPr fontId="3" type="noConversion"/>
  </si>
  <si>
    <t>2. Counterparty -- a vanilla interest rate swap is an over-the-counter instrument, so we will have a private collateral arrangement with our counterparty.</t>
    <phoneticPr fontId="3" type="noConversion"/>
  </si>
  <si>
    <t>The reason we study this trade is because it precedes the global financial crisis.  One of the unusual aspects of the GFC was a large spike in Libor</t>
    <phoneticPr fontId="3" type="noConversion"/>
  </si>
  <si>
    <t xml:space="preserve">    (due to fragility of the banks).  Recall Libor is not a collateralized ``loan.''</t>
    <phoneticPr fontId="3" type="noConversion"/>
  </si>
  <si>
    <t>In the period prior to this trade, the average Libor-repo spread was around 21 basis points, so if the spread reverts to the mean</t>
    <phoneticPr fontId="3" type="noConversion"/>
  </si>
  <si>
    <t xml:space="preserve">   the trade will prove to be even more profitable.</t>
    <phoneticPr fontId="3" type="noConversion"/>
  </si>
  <si>
    <t>The situation that gives rise to this trade:</t>
    <phoneticPr fontId="3" type="noConversion"/>
  </si>
  <si>
    <t>New 5-yr T-Note</t>
    <phoneticPr fontId="3" type="noConversion"/>
  </si>
  <si>
    <t>Maturity:</t>
    <phoneticPr fontId="3" type="noConversion"/>
  </si>
  <si>
    <t>Cpn:</t>
    <phoneticPr fontId="3" type="noConversion"/>
  </si>
  <si>
    <t>As is often the case, when we react to developing crises, we would have been much better off to sit tight.</t>
    <phoneticPr fontId="3" type="noConversion"/>
  </si>
  <si>
    <t>Let's assume the latter and evaluate how that affects our trade:</t>
    <phoneticPr fontId="3" type="noConversion"/>
  </si>
  <si>
    <t>Haircut:</t>
    <phoneticPr fontId="3" type="noConversion"/>
  </si>
  <si>
    <t>AI:</t>
    <phoneticPr fontId="3" type="noConversion"/>
  </si>
  <si>
    <t>T-Note bid Price:</t>
    <phoneticPr fontId="3" type="noConversion"/>
  </si>
  <si>
    <t>Cash Value:</t>
    <phoneticPr fontId="3" type="noConversion"/>
  </si>
  <si>
    <t>Mark-to-Market:</t>
    <phoneticPr fontId="3" type="noConversion"/>
  </si>
  <si>
    <t>Total Collateral</t>
    <phoneticPr fontId="3" type="noConversion"/>
  </si>
  <si>
    <t>Cash Flow on close of trade:</t>
    <phoneticPr fontId="3" type="noConversion"/>
  </si>
  <si>
    <t>3. Close repo:</t>
    <phoneticPr fontId="3" type="noConversion"/>
  </si>
  <si>
    <t>There are 2 features of repo markets that we assume away in the preceding.</t>
    <phoneticPr fontId="3" type="noConversion"/>
  </si>
  <si>
    <t>1. Haircuts</t>
    <phoneticPr fontId="3" type="noConversion"/>
  </si>
  <si>
    <t>2. Marking-to-market.</t>
    <phoneticPr fontId="3" type="noConversion"/>
  </si>
  <si>
    <t>Total nominal cash flows:</t>
    <phoneticPr fontId="3" type="noConversion"/>
  </si>
  <si>
    <t>A haircut is a margin requirement to protect the counterparty in a repo transaction.</t>
    <phoneticPr fontId="3" type="noConversion"/>
  </si>
  <si>
    <t>In this example, then the firm would be required to post $102 million with the securities lender.</t>
    <phoneticPr fontId="3" type="noConversion"/>
  </si>
  <si>
    <t>Furthermore, the collateral is marked to market values -- either on a daily basis or on rolling the repo transaction.</t>
    <phoneticPr fontId="3" type="noConversion"/>
  </si>
  <si>
    <t xml:space="preserve">   looks like a floating rate note.</t>
    <phoneticPr fontId="3" type="noConversion"/>
  </si>
  <si>
    <t xml:space="preserve">  2) Fixed Side:</t>
    <phoneticPr fontId="3" type="noConversion"/>
  </si>
  <si>
    <t xml:space="preserve">  Looks like a coupon bond.</t>
    <phoneticPr fontId="3" type="noConversion"/>
  </si>
  <si>
    <t xml:space="preserve">  3) Swap</t>
    <phoneticPr fontId="3" type="noConversion"/>
  </si>
  <si>
    <t>Specifies a notional principal which is the basis to calculate the interest paymants, and which is never exchanged.</t>
    <phoneticPr fontId="3" type="noConversion"/>
  </si>
  <si>
    <t>Trades over-the-counter meaning there is counterparty exposure.  This is usually managed by private collateral arrangements.</t>
    <phoneticPr fontId="3" type="noConversion"/>
  </si>
  <si>
    <t>On March 31,2008, this fund decides to liquidate this trade.  At this point the Lbor - repo spread is over 100 basis points.</t>
    <phoneticPr fontId="3" type="noConversion"/>
  </si>
  <si>
    <t xml:space="preserve">As such we have to value the 2 positions.  </t>
    <phoneticPr fontId="3" type="noConversion"/>
  </si>
  <si>
    <t>1. Treasury Note.</t>
    <phoneticPr fontId="3" type="noConversion"/>
  </si>
  <si>
    <t>Clean price:</t>
    <phoneticPr fontId="3" type="noConversion"/>
  </si>
  <si>
    <t>Acc Int:</t>
    <phoneticPr fontId="3" type="noConversion"/>
  </si>
  <si>
    <t>Cash flow needed to cover short:</t>
    <phoneticPr fontId="3" type="noConversion"/>
  </si>
  <si>
    <t xml:space="preserve">    tied-up capital:</t>
  </si>
  <si>
    <t>Firm Capital Tied-up:</t>
  </si>
  <si>
    <t>We see a problem that is related to bank runs.  The hedge fund entered this as a convergence trade.</t>
  </si>
  <si>
    <t xml:space="preserve">Assuming it faced a 0 haircut, PiVe did not tie-up its capital to enter the trade.  </t>
  </si>
  <si>
    <t>But it financed its short position using repo.  If the value of the note that it is short rises, PiVe has to post additional collateral--which ties up the firm's capital.</t>
  </si>
  <si>
    <t>Now, if the swap worked the same way, this would not necessarily be a problem -- the value of its swap position rises with the note's value (although not as much).  However, PiVe's counterparty in the swap is probably a bank such as Morgan Stanley, which</t>
  </si>
  <si>
    <t xml:space="preserve">     has a AAA credit rating, and does not post collateral on swaps.  </t>
  </si>
  <si>
    <t>This asymmetry in collateral positions would not have caused a problem if interest rates had remained relatively stable.</t>
  </si>
  <si>
    <t>It highlights another risk associated with convergence trades across different markets with different collateral structures.</t>
  </si>
  <si>
    <t>The global financial crisis revealed the risks created by such asymmetries.</t>
  </si>
  <si>
    <t>Statutory Dates:</t>
  </si>
  <si>
    <t>Actual Date:</t>
  </si>
  <si>
    <t>Cash Flow:</t>
  </si>
  <si>
    <t xml:space="preserve">  equivalent cc rate:</t>
  </si>
  <si>
    <t>Swap settle:</t>
  </si>
  <si>
    <t>The trade is put on on June 28, 2006.  We can trade the new 5-year note (the 5 1/8% June 30 2011 note) in the when-issued market.</t>
  </si>
  <si>
    <t>Treasury Settle:</t>
  </si>
  <si>
    <t>Nat Swap Dates:</t>
  </si>
  <si>
    <t>Actual Dates</t>
  </si>
  <si>
    <t>Swap Fixed side term (30I/360):</t>
  </si>
  <si>
    <t>Let's do the trade for $100  million par value of the note and notional principal of the swap.</t>
  </si>
  <si>
    <t>Bid quote:</t>
  </si>
  <si>
    <t>Totals</t>
  </si>
  <si>
    <t>Re-invest (borrow) intermediate balance:</t>
  </si>
  <si>
    <t>Intermediate Balance:</t>
  </si>
  <si>
    <t>So ignoring marking to market considerations, the convergence trade would have resulted in a loss of just over $206 K.</t>
  </si>
  <si>
    <t>This is due to the financing side of the trade.  We have to pay Libor on the swap.</t>
  </si>
  <si>
    <t xml:space="preserve">A consequence of Lehman's bankruptcy and the global financial crisis was that Libor rose dramatically -- reflecting </t>
  </si>
  <si>
    <t>default risk of the global banking system.  At the same time, low-risk short rates fell dramatically -- and this includes repo.</t>
  </si>
  <si>
    <t xml:space="preserve">   Let’s evaluate the swap on </t>
  </si>
  <si>
    <t>The floating side will sell for par as this is a reset date.  So we have to evaluate the fixed side:</t>
  </si>
  <si>
    <t>comp fctr</t>
  </si>
  <si>
    <t>disc fctr</t>
  </si>
  <si>
    <t>Future Cash flows for the synthetic fixed-rate note</t>
  </si>
  <si>
    <t>CF Date</t>
  </si>
  <si>
    <t>CF</t>
  </si>
  <si>
    <t>df</t>
  </si>
  <si>
    <t>PV</t>
  </si>
  <si>
    <t>27 mo</t>
  </si>
  <si>
    <t>30 mo</t>
  </si>
  <si>
    <t>33 mo</t>
  </si>
  <si>
    <t>39 mo</t>
  </si>
  <si>
    <t>We are synthetically long this fixed rate note and short the floater, which has a value of par.  So the value of our swap is:</t>
  </si>
  <si>
    <t xml:space="preserve">  under the current market conditions.</t>
  </si>
  <si>
    <t>If the haircut is 2%, this means that the fund must post cash equal to 102% of the market value of the securities loaned to us to effect the short position.</t>
  </si>
  <si>
    <t>90-day Libor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</si>
</sst>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0.0000000"/>
    <numFmt numFmtId="166" formatCode="#,##0.00000"/>
    <numFmt numFmtId="167" formatCode="0.0000"/>
  </numFmts>
  <fonts count="7" x14ac:knownFonts="1">
    <font>
      <sz val="10"/>
      <name val="Verdana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15" fontId="0" fillId="0" borderId="0" xfId="0" applyNumberFormat="1"/>
    <xf numFmtId="14" fontId="0" fillId="0" borderId="0" xfId="0" applyNumberFormat="1"/>
    <xf numFmtId="12" fontId="0" fillId="0" borderId="0" xfId="0" applyNumberFormat="1"/>
    <xf numFmtId="3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4" fontId="0" fillId="0" borderId="0" xfId="0" applyNumberFormat="1"/>
    <xf numFmtId="3" fontId="0" fillId="0" borderId="0" xfId="0" applyNumberFormat="1"/>
    <xf numFmtId="166" fontId="0" fillId="0" borderId="0" xfId="0" applyNumberFormat="1"/>
    <xf numFmtId="4" fontId="0" fillId="0" borderId="0" xfId="0" applyNumberFormat="1"/>
    <xf numFmtId="0" fontId="4" fillId="0" borderId="0" xfId="0" applyFont="1"/>
    <xf numFmtId="0" fontId="2" fillId="0" borderId="0" xfId="0" applyFont="1"/>
    <xf numFmtId="3" fontId="5" fillId="0" borderId="0" xfId="0" applyNumberFormat="1" applyFont="1"/>
    <xf numFmtId="167" fontId="0" fillId="0" borderId="0" xfId="0" applyNumberFormat="1"/>
    <xf numFmtId="43" fontId="0" fillId="0" borderId="0" xfId="1" applyFont="1"/>
    <xf numFmtId="43" fontId="0" fillId="0" borderId="0" xfId="0" applyNumberFormat="1"/>
    <xf numFmtId="43" fontId="5" fillId="0" borderId="0" xfId="0" applyNumberFormat="1" applyFont="1"/>
    <xf numFmtId="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L48"/>
  <sheetViews>
    <sheetView workbookViewId="0">
      <selection activeCell="C10" sqref="C10"/>
    </sheetView>
  </sheetViews>
  <sheetFormatPr baseColWidth="10" defaultColWidth="10.83203125" defaultRowHeight="13" x14ac:dyDescent="0.15"/>
  <cols>
    <col min="2" max="2" width="14.6640625" customWidth="1"/>
    <col min="3" max="3" width="14.5" customWidth="1"/>
    <col min="5" max="5" width="12" bestFit="1" customWidth="1"/>
  </cols>
  <sheetData>
    <row r="1" spans="1:12" x14ac:dyDescent="0.15">
      <c r="A1" t="s">
        <v>61</v>
      </c>
      <c r="E1" t="s">
        <v>2</v>
      </c>
    </row>
    <row r="2" spans="1:12" x14ac:dyDescent="0.15">
      <c r="A2" s="14" t="s">
        <v>109</v>
      </c>
    </row>
    <row r="5" spans="1:12" x14ac:dyDescent="0.15">
      <c r="A5" s="1">
        <v>37436</v>
      </c>
      <c r="B5" t="str">
        <f>TEXT(A5,"ddd")</f>
        <v>Fri</v>
      </c>
      <c r="C5" s="14" t="s">
        <v>110</v>
      </c>
      <c r="D5" s="2">
        <f>A5</f>
        <v>37436</v>
      </c>
      <c r="F5" s="14" t="s">
        <v>108</v>
      </c>
      <c r="G5" s="2">
        <f>D5</f>
        <v>37436</v>
      </c>
    </row>
    <row r="6" spans="1:12" x14ac:dyDescent="0.15">
      <c r="B6" t="s">
        <v>62</v>
      </c>
    </row>
    <row r="7" spans="1:12" x14ac:dyDescent="0.15">
      <c r="C7" t="s">
        <v>63</v>
      </c>
      <c r="D7" s="2">
        <v>39262</v>
      </c>
    </row>
    <row r="8" spans="1:12" x14ac:dyDescent="0.15">
      <c r="C8" t="s">
        <v>64</v>
      </c>
      <c r="D8" s="3">
        <v>5.125</v>
      </c>
      <c r="E8">
        <v>5.1249999999999997E-2</v>
      </c>
    </row>
    <row r="9" spans="1:12" x14ac:dyDescent="0.15">
      <c r="C9" s="14" t="s">
        <v>115</v>
      </c>
      <c r="D9">
        <v>100.1172</v>
      </c>
    </row>
    <row r="10" spans="1:12" x14ac:dyDescent="0.15">
      <c r="A10" s="14" t="s">
        <v>104</v>
      </c>
      <c r="C10" s="2">
        <v>37620</v>
      </c>
      <c r="D10" s="2">
        <v>37801</v>
      </c>
      <c r="E10" s="2">
        <v>37985</v>
      </c>
      <c r="F10" s="2">
        <v>38167</v>
      </c>
      <c r="G10" s="2">
        <v>38351</v>
      </c>
      <c r="H10" s="2">
        <v>38532</v>
      </c>
      <c r="I10" s="2">
        <v>38716</v>
      </c>
      <c r="J10" s="2">
        <v>38897</v>
      </c>
      <c r="K10" s="2">
        <v>39081</v>
      </c>
      <c r="L10" s="2">
        <v>39262</v>
      </c>
    </row>
    <row r="11" spans="1:12" x14ac:dyDescent="0.15">
      <c r="C11" t="str">
        <f>TEXT(C10,"ddd")</f>
        <v>Sun</v>
      </c>
      <c r="D11" t="str">
        <f t="shared" ref="D11:L11" si="0">TEXT(D10,"ddd")</f>
        <v>Sat</v>
      </c>
      <c r="E11" t="str">
        <f t="shared" si="0"/>
        <v>Mon</v>
      </c>
      <c r="F11" t="str">
        <f t="shared" si="0"/>
        <v>Mon</v>
      </c>
      <c r="G11" t="str">
        <f t="shared" si="0"/>
        <v>Wed</v>
      </c>
      <c r="H11" t="str">
        <f t="shared" si="0"/>
        <v>Tue</v>
      </c>
      <c r="I11" t="str">
        <f t="shared" si="0"/>
        <v>Thu</v>
      </c>
      <c r="J11" t="str">
        <f t="shared" si="0"/>
        <v>Wed</v>
      </c>
      <c r="K11" t="str">
        <f t="shared" si="0"/>
        <v>Fri</v>
      </c>
      <c r="L11" t="str">
        <f t="shared" si="0"/>
        <v>Thu</v>
      </c>
    </row>
    <row r="12" spans="1:12" x14ac:dyDescent="0.15">
      <c r="A12" s="14" t="s">
        <v>105</v>
      </c>
      <c r="C12" s="2">
        <f>C10+2</f>
        <v>37622</v>
      </c>
      <c r="D12" s="2">
        <f>D10+2</f>
        <v>37803</v>
      </c>
      <c r="E12" s="2">
        <f>E10</f>
        <v>37985</v>
      </c>
      <c r="F12" s="2">
        <f t="shared" ref="F12:L12" si="1">F10</f>
        <v>38167</v>
      </c>
      <c r="G12" s="2">
        <f t="shared" si="1"/>
        <v>38351</v>
      </c>
      <c r="H12" s="2">
        <f t="shared" si="1"/>
        <v>38532</v>
      </c>
      <c r="I12" s="2">
        <f t="shared" si="1"/>
        <v>38716</v>
      </c>
      <c r="J12" s="2">
        <f t="shared" si="1"/>
        <v>38897</v>
      </c>
      <c r="K12" s="2">
        <f t="shared" si="1"/>
        <v>39081</v>
      </c>
      <c r="L12" s="2">
        <f t="shared" si="1"/>
        <v>39262</v>
      </c>
    </row>
    <row r="13" spans="1:12" x14ac:dyDescent="0.15">
      <c r="B13" t="s">
        <v>4</v>
      </c>
      <c r="C13" s="5">
        <f>(C12-$D$5)/365.25</f>
        <v>0.50924024640657084</v>
      </c>
      <c r="D13" s="5">
        <f t="shared" ref="D13:L13" si="2">(D12-$D$5)/365.25</f>
        <v>1.0047912388774811</v>
      </c>
      <c r="E13" s="5">
        <f t="shared" si="2"/>
        <v>1.5030800821355237</v>
      </c>
      <c r="F13" s="5">
        <f t="shared" si="2"/>
        <v>2.001368925393566</v>
      </c>
      <c r="G13" s="5">
        <f t="shared" si="2"/>
        <v>2.5051334702258727</v>
      </c>
      <c r="H13" s="5">
        <f t="shared" si="2"/>
        <v>3.0006844626967832</v>
      </c>
      <c r="I13" s="5">
        <f t="shared" si="2"/>
        <v>3.5044490075290895</v>
      </c>
      <c r="J13" s="5">
        <f t="shared" si="2"/>
        <v>4</v>
      </c>
      <c r="K13" s="5">
        <f t="shared" si="2"/>
        <v>4.5037645448323067</v>
      </c>
      <c r="L13" s="5">
        <f t="shared" si="2"/>
        <v>4.9993155373032172</v>
      </c>
    </row>
    <row r="14" spans="1:12" x14ac:dyDescent="0.15">
      <c r="B14" s="14" t="s">
        <v>106</v>
      </c>
      <c r="C14" s="16">
        <f>50*$E$8</f>
        <v>2.5625</v>
      </c>
      <c r="D14">
        <f t="shared" ref="D14:K14" si="3">50*$E$8</f>
        <v>2.5625</v>
      </c>
      <c r="E14">
        <f t="shared" si="3"/>
        <v>2.5625</v>
      </c>
      <c r="F14">
        <f t="shared" si="3"/>
        <v>2.5625</v>
      </c>
      <c r="G14">
        <f t="shared" si="3"/>
        <v>2.5625</v>
      </c>
      <c r="H14">
        <f t="shared" si="3"/>
        <v>2.5625</v>
      </c>
      <c r="I14">
        <f t="shared" si="3"/>
        <v>2.5625</v>
      </c>
      <c r="J14">
        <f t="shared" si="3"/>
        <v>2.5625</v>
      </c>
      <c r="K14">
        <f t="shared" si="3"/>
        <v>2.5625</v>
      </c>
      <c r="L14">
        <f>100*(1+E8/2)</f>
        <v>102.5625</v>
      </c>
    </row>
    <row r="15" spans="1:12" x14ac:dyDescent="0.15">
      <c r="A15" t="s">
        <v>5</v>
      </c>
      <c r="B15">
        <v>5.1137509301907337E-2</v>
      </c>
    </row>
    <row r="16" spans="1:12" x14ac:dyDescent="0.15">
      <c r="B16" t="s">
        <v>3</v>
      </c>
      <c r="C16">
        <f>1/(1+$B$15/2)^(2*C13)</f>
        <v>0.97461386278685791</v>
      </c>
      <c r="D16">
        <f t="shared" ref="D16:L16" si="4">1/(1+$B$15/2)^(2*D13)</f>
        <v>0.95052899296853255</v>
      </c>
      <c r="E16">
        <f t="shared" si="4"/>
        <v>0.92691116223438519</v>
      </c>
      <c r="F16">
        <f t="shared" si="4"/>
        <v>0.90388016465599974</v>
      </c>
      <c r="G16">
        <f t="shared" si="4"/>
        <v>0.88117774528700288</v>
      </c>
      <c r="H16">
        <f t="shared" si="4"/>
        <v>0.85940188913269278</v>
      </c>
      <c r="I16">
        <f t="shared" si="4"/>
        <v>0.83781661394190021</v>
      </c>
      <c r="J16">
        <f t="shared" si="4"/>
        <v>0.8171123074992227</v>
      </c>
      <c r="K16">
        <f t="shared" si="4"/>
        <v>0.79658920388241072</v>
      </c>
      <c r="L16">
        <f t="shared" si="4"/>
        <v>0.77690371816673376</v>
      </c>
    </row>
    <row r="17" spans="1:12" x14ac:dyDescent="0.15">
      <c r="B17" t="s">
        <v>6</v>
      </c>
      <c r="C17">
        <f>C14*C16</f>
        <v>2.4974480233913234</v>
      </c>
      <c r="D17">
        <f t="shared" ref="D17:L17" si="5">D14*D16</f>
        <v>2.4357305444818644</v>
      </c>
      <c r="E17">
        <f t="shared" si="5"/>
        <v>2.3752098532256118</v>
      </c>
      <c r="F17">
        <f t="shared" si="5"/>
        <v>2.3161929219309991</v>
      </c>
      <c r="G17">
        <f t="shared" si="5"/>
        <v>2.258017972297945</v>
      </c>
      <c r="H17">
        <f t="shared" si="5"/>
        <v>2.2022173409025254</v>
      </c>
      <c r="I17">
        <f t="shared" si="5"/>
        <v>2.1469050732261192</v>
      </c>
      <c r="J17">
        <f t="shared" si="5"/>
        <v>2.0938502879667582</v>
      </c>
      <c r="K17">
        <f t="shared" si="5"/>
        <v>2.0412598349486775</v>
      </c>
      <c r="L17">
        <f t="shared" si="5"/>
        <v>79.681187594475631</v>
      </c>
    </row>
    <row r="18" spans="1:12" x14ac:dyDescent="0.15">
      <c r="B18">
        <f>SUM(C17:L17)</f>
        <v>100.04801944684746</v>
      </c>
    </row>
    <row r="19" spans="1:12" x14ac:dyDescent="0.15">
      <c r="C19" s="13" t="s">
        <v>0</v>
      </c>
      <c r="E19">
        <f>(D9-B18)^2</f>
        <v>4.7859489344906766E-3</v>
      </c>
    </row>
    <row r="21" spans="1:12" x14ac:dyDescent="0.15">
      <c r="B21" t="s">
        <v>7</v>
      </c>
    </row>
    <row r="22" spans="1:12" x14ac:dyDescent="0.15">
      <c r="C22">
        <v>5.6899999999999999E-2</v>
      </c>
      <c r="D22" s="14" t="s">
        <v>107</v>
      </c>
      <c r="F22">
        <f>LN((1+C22/2)^2)</f>
        <v>5.6105628884070551E-2</v>
      </c>
    </row>
    <row r="23" spans="1:12" x14ac:dyDescent="0.15">
      <c r="B23" t="s">
        <v>8</v>
      </c>
      <c r="C23">
        <v>5.5080999999999998E-2</v>
      </c>
    </row>
    <row r="24" spans="1:12" x14ac:dyDescent="0.15">
      <c r="B24" t="s">
        <v>9</v>
      </c>
      <c r="C24">
        <v>5.2699999999999997E-2</v>
      </c>
    </row>
    <row r="26" spans="1:12" x14ac:dyDescent="0.15">
      <c r="D26" t="s">
        <v>16</v>
      </c>
    </row>
    <row r="27" spans="1:12" x14ac:dyDescent="0.15">
      <c r="B27" t="s">
        <v>10</v>
      </c>
      <c r="C27">
        <f>C22-B15</f>
        <v>5.7624906980926621E-3</v>
      </c>
    </row>
    <row r="29" spans="1:12" x14ac:dyDescent="0.15">
      <c r="A29" t="s">
        <v>11</v>
      </c>
    </row>
    <row r="30" spans="1:12" x14ac:dyDescent="0.15">
      <c r="B30" t="s">
        <v>12</v>
      </c>
    </row>
    <row r="31" spans="1:12" x14ac:dyDescent="0.15">
      <c r="B31" t="s">
        <v>13</v>
      </c>
    </row>
    <row r="34" spans="1:8" x14ac:dyDescent="0.15">
      <c r="A34" t="s">
        <v>14</v>
      </c>
    </row>
    <row r="35" spans="1:8" x14ac:dyDescent="0.15">
      <c r="B35" t="s">
        <v>15</v>
      </c>
    </row>
    <row r="36" spans="1:8" x14ac:dyDescent="0.15">
      <c r="B36" t="s">
        <v>17</v>
      </c>
    </row>
    <row r="37" spans="1:8" x14ac:dyDescent="0.15">
      <c r="B37" t="s">
        <v>18</v>
      </c>
      <c r="E37">
        <f>C23-C24</f>
        <v>2.3810000000000012E-3</v>
      </c>
    </row>
    <row r="38" spans="1:8" x14ac:dyDescent="0.15">
      <c r="B38" t="s">
        <v>52</v>
      </c>
      <c r="F38">
        <f>C27-E37</f>
        <v>3.381490698092661E-3</v>
      </c>
    </row>
    <row r="40" spans="1:8" x14ac:dyDescent="0.15">
      <c r="A40" t="s">
        <v>53</v>
      </c>
      <c r="C40" s="4">
        <v>100000000</v>
      </c>
      <c r="D40" t="s">
        <v>54</v>
      </c>
      <c r="G40" s="4">
        <f>F38*C40</f>
        <v>338149.06980926608</v>
      </c>
      <c r="H40" t="s">
        <v>55</v>
      </c>
    </row>
    <row r="42" spans="1:8" x14ac:dyDescent="0.15">
      <c r="B42" t="s">
        <v>59</v>
      </c>
    </row>
    <row r="43" spans="1:8" x14ac:dyDescent="0.15">
      <c r="B43" t="s">
        <v>60</v>
      </c>
    </row>
    <row r="44" spans="1:8" x14ac:dyDescent="0.15">
      <c r="B44" t="s">
        <v>56</v>
      </c>
    </row>
    <row r="47" spans="1:8" x14ac:dyDescent="0.15">
      <c r="A47" t="s">
        <v>57</v>
      </c>
    </row>
    <row r="48" spans="1:8" x14ac:dyDescent="0.15">
      <c r="A48" t="s">
        <v>58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X38"/>
  <sheetViews>
    <sheetView workbookViewId="0">
      <selection activeCell="C8" sqref="C8"/>
    </sheetView>
  </sheetViews>
  <sheetFormatPr baseColWidth="10" defaultColWidth="10.83203125" defaultRowHeight="13" x14ac:dyDescent="0.15"/>
  <cols>
    <col min="1" max="1" width="15.6640625" customWidth="1"/>
    <col min="2" max="2" width="15.1640625" customWidth="1"/>
    <col min="4" max="4" width="12" bestFit="1" customWidth="1"/>
    <col min="5" max="5" width="13.6640625" customWidth="1"/>
    <col min="6" max="6" width="15.1640625" customWidth="1"/>
    <col min="7" max="7" width="13.1640625" customWidth="1"/>
    <col min="8" max="8" width="13.83203125" customWidth="1"/>
    <col min="9" max="9" width="14.33203125" customWidth="1"/>
    <col min="10" max="10" width="15.6640625" customWidth="1"/>
    <col min="11" max="11" width="14.83203125" customWidth="1"/>
    <col min="12" max="12" width="12" bestFit="1" customWidth="1"/>
    <col min="13" max="21" width="13" bestFit="1" customWidth="1"/>
    <col min="22" max="22" width="16" customWidth="1"/>
  </cols>
  <sheetData>
    <row r="1" spans="1:24" x14ac:dyDescent="0.15">
      <c r="B1" t="s">
        <v>19</v>
      </c>
      <c r="X1" s="14" t="s">
        <v>116</v>
      </c>
    </row>
    <row r="3" spans="1:24" x14ac:dyDescent="0.15">
      <c r="A3" s="14" t="s">
        <v>111</v>
      </c>
      <c r="B3" s="2">
        <v>37436</v>
      </c>
      <c r="C3" s="2">
        <v>37528</v>
      </c>
      <c r="D3" s="2">
        <v>37620</v>
      </c>
      <c r="E3" s="2">
        <v>37710</v>
      </c>
      <c r="F3" s="2">
        <v>37801</v>
      </c>
      <c r="G3" s="2">
        <v>37893</v>
      </c>
      <c r="H3" s="2">
        <v>37985</v>
      </c>
      <c r="I3" s="2">
        <v>38076</v>
      </c>
      <c r="J3" s="2">
        <v>38167</v>
      </c>
      <c r="K3" s="2">
        <v>38259</v>
      </c>
      <c r="L3" s="2">
        <v>38351</v>
      </c>
      <c r="M3" s="2">
        <v>38441</v>
      </c>
      <c r="N3" s="2">
        <v>38532</v>
      </c>
      <c r="O3" s="2">
        <v>38624</v>
      </c>
      <c r="P3" s="2">
        <v>38716</v>
      </c>
      <c r="Q3" s="2">
        <v>38806</v>
      </c>
      <c r="R3" s="2">
        <v>38897</v>
      </c>
      <c r="S3" s="2">
        <v>38989</v>
      </c>
      <c r="T3" s="2">
        <v>39081</v>
      </c>
      <c r="U3" s="2">
        <v>39171</v>
      </c>
      <c r="V3" s="2">
        <v>39262</v>
      </c>
    </row>
    <row r="4" spans="1:24" x14ac:dyDescent="0.15">
      <c r="B4" s="2" t="str">
        <f>TEXT(B3,"ddd")</f>
        <v>Fri</v>
      </c>
      <c r="C4" s="2" t="str">
        <f t="shared" ref="C4:V4" si="0">TEXT(C3,"ddd")</f>
        <v>Sat</v>
      </c>
      <c r="D4" s="2" t="str">
        <f t="shared" si="0"/>
        <v>Sun</v>
      </c>
      <c r="E4" s="2" t="str">
        <f t="shared" si="0"/>
        <v>Sat</v>
      </c>
      <c r="F4" s="2" t="str">
        <f t="shared" si="0"/>
        <v>Sat</v>
      </c>
      <c r="G4" s="2" t="str">
        <f t="shared" si="0"/>
        <v>Sun</v>
      </c>
      <c r="H4" s="2" t="str">
        <f t="shared" si="0"/>
        <v>Mon</v>
      </c>
      <c r="I4" s="2" t="str">
        <f t="shared" si="0"/>
        <v>Mon</v>
      </c>
      <c r="J4" s="2" t="str">
        <f t="shared" si="0"/>
        <v>Mon</v>
      </c>
      <c r="K4" s="2" t="str">
        <f t="shared" si="0"/>
        <v>Tue</v>
      </c>
      <c r="L4" s="2" t="str">
        <f t="shared" si="0"/>
        <v>Wed</v>
      </c>
      <c r="M4" s="2" t="str">
        <f t="shared" si="0"/>
        <v>Tue</v>
      </c>
      <c r="N4" s="2" t="str">
        <f t="shared" si="0"/>
        <v>Tue</v>
      </c>
      <c r="O4" s="2" t="str">
        <f t="shared" si="0"/>
        <v>Wed</v>
      </c>
      <c r="P4" s="2" t="str">
        <f t="shared" si="0"/>
        <v>Thu</v>
      </c>
      <c r="Q4" s="2" t="str">
        <f t="shared" si="0"/>
        <v>Wed</v>
      </c>
      <c r="R4" s="2" t="str">
        <f t="shared" si="0"/>
        <v>Wed</v>
      </c>
      <c r="S4" s="2" t="str">
        <f t="shared" si="0"/>
        <v>Thu</v>
      </c>
      <c r="T4" s="2" t="str">
        <f t="shared" si="0"/>
        <v>Fri</v>
      </c>
      <c r="U4" s="2" t="str">
        <f t="shared" si="0"/>
        <v>Thu</v>
      </c>
      <c r="V4" s="2" t="str">
        <f t="shared" si="0"/>
        <v>Thu</v>
      </c>
    </row>
    <row r="5" spans="1:24" x14ac:dyDescent="0.15">
      <c r="A5" s="14" t="s">
        <v>112</v>
      </c>
      <c r="B5" s="2">
        <f>B3</f>
        <v>37436</v>
      </c>
      <c r="C5" s="2">
        <f>C3+2</f>
        <v>37530</v>
      </c>
      <c r="D5" s="2">
        <f>D3+2</f>
        <v>37622</v>
      </c>
      <c r="E5" s="2">
        <f>E3+2</f>
        <v>37712</v>
      </c>
      <c r="F5" s="2">
        <f>F3+2</f>
        <v>37803</v>
      </c>
      <c r="G5" s="2">
        <f>G3+1</f>
        <v>37894</v>
      </c>
      <c r="H5" s="2">
        <f>H3</f>
        <v>37985</v>
      </c>
      <c r="I5" s="2">
        <f t="shared" ref="I5:V5" si="1">I3</f>
        <v>38076</v>
      </c>
      <c r="J5" s="2">
        <f t="shared" si="1"/>
        <v>38167</v>
      </c>
      <c r="K5" s="2">
        <f t="shared" si="1"/>
        <v>38259</v>
      </c>
      <c r="L5" s="2">
        <f t="shared" si="1"/>
        <v>38351</v>
      </c>
      <c r="M5" s="2">
        <f t="shared" si="1"/>
        <v>38441</v>
      </c>
      <c r="N5" s="2">
        <f t="shared" si="1"/>
        <v>38532</v>
      </c>
      <c r="O5" s="2">
        <f t="shared" si="1"/>
        <v>38624</v>
      </c>
      <c r="P5" s="2">
        <f t="shared" si="1"/>
        <v>38716</v>
      </c>
      <c r="Q5" s="2">
        <f t="shared" si="1"/>
        <v>38806</v>
      </c>
      <c r="R5" s="2">
        <f t="shared" si="1"/>
        <v>38897</v>
      </c>
      <c r="S5" s="2">
        <f t="shared" si="1"/>
        <v>38989</v>
      </c>
      <c r="T5" s="2">
        <f t="shared" si="1"/>
        <v>39081</v>
      </c>
      <c r="U5" s="2">
        <f t="shared" si="1"/>
        <v>39171</v>
      </c>
      <c r="V5" s="2">
        <f t="shared" si="1"/>
        <v>39262</v>
      </c>
    </row>
    <row r="6" spans="1:24" x14ac:dyDescent="0.15">
      <c r="A6" s="14" t="s">
        <v>139</v>
      </c>
      <c r="B6" s="5">
        <f>Trade!C23</f>
        <v>5.5080999999999998E-2</v>
      </c>
      <c r="C6">
        <v>5.3699999999999998E-2</v>
      </c>
      <c r="D6">
        <v>5.3600000000000002E-2</v>
      </c>
      <c r="E6">
        <v>5.3499999999999999E-2</v>
      </c>
      <c r="F6">
        <v>5.3600000000000002E-2</v>
      </c>
      <c r="G6">
        <v>5.2287500000000001E-2</v>
      </c>
      <c r="H6">
        <v>4.7024999999999997E-2</v>
      </c>
      <c r="I6">
        <v>2.68813E-2</v>
      </c>
      <c r="J6">
        <v>2.78313E-2</v>
      </c>
      <c r="K6">
        <v>4.0524999999999999E-2</v>
      </c>
      <c r="L6">
        <v>1.4250000000000001E-2</v>
      </c>
      <c r="M6">
        <v>1.19188E-2</v>
      </c>
      <c r="N6">
        <v>5.9500000000000004E-3</v>
      </c>
      <c r="O6">
        <v>2.8687999999999999E-3</v>
      </c>
      <c r="P6">
        <v>2.5062999999999999E-3</v>
      </c>
      <c r="Q6">
        <v>2.9150000000000001E-3</v>
      </c>
      <c r="R6">
        <v>5.3394000000000002E-3</v>
      </c>
      <c r="S6">
        <v>2.8999999999999998E-3</v>
      </c>
      <c r="T6">
        <v>3.0281000000000001E-3</v>
      </c>
      <c r="U6">
        <v>3.0300000000000001E-3</v>
      </c>
      <c r="V6">
        <v>2.4575E-3</v>
      </c>
    </row>
    <row r="7" spans="1:24" x14ac:dyDescent="0.15">
      <c r="A7" t="s">
        <v>39</v>
      </c>
      <c r="B7" s="5">
        <f>Trade!C24</f>
        <v>5.2699999999999997E-2</v>
      </c>
      <c r="C7">
        <v>5.1499999999999997E-2</v>
      </c>
      <c r="D7">
        <v>5.1700000000000003E-2</v>
      </c>
      <c r="E7">
        <v>5.1799999999999999E-2</v>
      </c>
      <c r="F7">
        <v>5.1400000000000001E-2</v>
      </c>
      <c r="G7">
        <v>4.4499999999999998E-2</v>
      </c>
      <c r="H7">
        <v>3.5999999999999997E-2</v>
      </c>
      <c r="I7">
        <v>1.6E-2</v>
      </c>
      <c r="J7">
        <v>2.0500000000000001E-2</v>
      </c>
      <c r="K7">
        <v>1.8499999999999999E-2</v>
      </c>
      <c r="L7">
        <v>1E-3</v>
      </c>
      <c r="M7">
        <v>2.5000000000000001E-3</v>
      </c>
      <c r="N7">
        <v>1.5E-3</v>
      </c>
      <c r="O7">
        <v>8.0000000000000004E-4</v>
      </c>
      <c r="P7">
        <v>1E-4</v>
      </c>
      <c r="Q7">
        <v>1.1999999999999999E-3</v>
      </c>
      <c r="R7">
        <v>1.2999999999999999E-3</v>
      </c>
      <c r="S7">
        <v>1.5E-3</v>
      </c>
      <c r="T7">
        <v>1.5E-3</v>
      </c>
      <c r="U7">
        <v>5.0000000000000001E-4</v>
      </c>
      <c r="V7">
        <v>8.9999999999999998E-4</v>
      </c>
    </row>
    <row r="8" spans="1:24" x14ac:dyDescent="0.15">
      <c r="A8" t="s">
        <v>44</v>
      </c>
      <c r="B8" s="4"/>
      <c r="C8" s="4">
        <f>$B$20*(B7-B6)*(C5-B3)/360</f>
        <v>-62243.419446666696</v>
      </c>
      <c r="D8" s="4">
        <f t="shared" ref="D8:V8" si="2">$B$20*(C7-C6)/4</f>
        <v>-55064.460000000014</v>
      </c>
      <c r="E8" s="4">
        <f t="shared" si="2"/>
        <v>-47555.669999999969</v>
      </c>
      <c r="F8" s="4">
        <f t="shared" si="2"/>
        <v>-42549.810000000005</v>
      </c>
      <c r="G8" s="4">
        <f t="shared" si="2"/>
        <v>-55064.460000000014</v>
      </c>
      <c r="H8" s="4">
        <f t="shared" si="2"/>
        <v>-194915.67375000007</v>
      </c>
      <c r="I8" s="4">
        <f>$B$20*(H7-H6)/4</f>
        <v>-275948.03250000003</v>
      </c>
      <c r="J8" s="4">
        <f t="shared" si="2"/>
        <v>-272351.32208999997</v>
      </c>
      <c r="K8" s="4">
        <f t="shared" si="2"/>
        <v>-183497.30708999999</v>
      </c>
      <c r="L8" s="4">
        <f t="shared" si="2"/>
        <v>-551270.33250000002</v>
      </c>
      <c r="M8" s="4">
        <f t="shared" si="2"/>
        <v>-331638.22500000003</v>
      </c>
      <c r="N8" s="4">
        <f>$B$20*(M7-M6)/4</f>
        <v>-235745.97083999999</v>
      </c>
      <c r="O8" s="4">
        <f t="shared" si="2"/>
        <v>-111380.38500000002</v>
      </c>
      <c r="P8" s="4">
        <f t="shared" si="2"/>
        <v>-51780.615839999999</v>
      </c>
      <c r="Q8" s="4">
        <f t="shared" si="2"/>
        <v>-60228.004590000004</v>
      </c>
      <c r="R8" s="4">
        <f t="shared" si="2"/>
        <v>-42925.249500000005</v>
      </c>
      <c r="S8" s="4">
        <f t="shared" si="2"/>
        <v>-101103.35442</v>
      </c>
      <c r="T8" s="4">
        <f t="shared" si="2"/>
        <v>-35041.019999999997</v>
      </c>
      <c r="U8" s="4">
        <f t="shared" si="2"/>
        <v>-38247.273330000004</v>
      </c>
      <c r="V8" s="4">
        <f t="shared" si="2"/>
        <v>-63324.129000000001</v>
      </c>
      <c r="W8" s="4"/>
      <c r="X8" s="4"/>
    </row>
    <row r="9" spans="1:24" x14ac:dyDescent="0.15">
      <c r="A9" s="14" t="s">
        <v>113</v>
      </c>
      <c r="B9" s="10"/>
      <c r="C9" s="10"/>
      <c r="D9" s="10">
        <v>182</v>
      </c>
      <c r="E9" s="10"/>
      <c r="F9" s="10">
        <v>180</v>
      </c>
      <c r="G9" s="10"/>
      <c r="H9" s="10">
        <v>178</v>
      </c>
      <c r="I9" s="10"/>
      <c r="J9" s="10">
        <v>180</v>
      </c>
      <c r="K9" s="10"/>
      <c r="L9" s="10">
        <v>180</v>
      </c>
      <c r="M9" s="10"/>
      <c r="N9" s="10">
        <v>180</v>
      </c>
      <c r="O9" s="10"/>
      <c r="P9" s="10">
        <v>180</v>
      </c>
      <c r="Q9" s="10"/>
      <c r="R9" s="10">
        <v>180</v>
      </c>
      <c r="S9" s="10"/>
      <c r="T9" s="10">
        <v>180</v>
      </c>
      <c r="U9" s="10"/>
      <c r="V9" s="10">
        <v>180</v>
      </c>
      <c r="W9" s="10"/>
      <c r="X9" s="10"/>
    </row>
    <row r="10" spans="1:24" x14ac:dyDescent="0.15">
      <c r="A10" t="s">
        <v>43</v>
      </c>
      <c r="D10" s="4">
        <f>(D9/360*Trade!$C$22-0.5*Trade!$E$8)*Playout!$B$21</f>
        <v>314111.11111111118</v>
      </c>
      <c r="E10" s="4"/>
      <c r="F10" s="10">
        <f>(F9/360*Trade!$C$22-0.5*Trade!$E$8)*Playout!$B$21</f>
        <v>282500.00000000012</v>
      </c>
      <c r="G10" s="4"/>
      <c r="H10" s="10">
        <f>(H9/360*Trade!$C$22-0.5*Trade!$E$8)*Playout!$B$21</f>
        <v>250888.88888888905</v>
      </c>
      <c r="I10" s="4"/>
      <c r="J10" s="10">
        <f>(J9/360*Trade!$C$22-0.5*Trade!$E$8)*Playout!$B$21</f>
        <v>282500.00000000012</v>
      </c>
      <c r="K10" s="4"/>
      <c r="L10" s="10">
        <f>(L9/360*Trade!$C$22-0.5*Trade!$E$8)*Playout!$B$21</f>
        <v>282500.00000000012</v>
      </c>
      <c r="M10" s="4"/>
      <c r="N10" s="10">
        <f>(N9/360*Trade!$C$22-0.5*Trade!$E$8)*Playout!$B$21</f>
        <v>282500.00000000012</v>
      </c>
      <c r="O10" s="4"/>
      <c r="P10" s="10">
        <f>(P9/360*Trade!$C$22-0.5*Trade!$E$8)*Playout!$B$21</f>
        <v>282500.00000000012</v>
      </c>
      <c r="Q10" s="4"/>
      <c r="R10" s="10">
        <f>(R9/360*Trade!$C$22-0.5*Trade!$E$8)*Playout!$B$21</f>
        <v>282500.00000000012</v>
      </c>
      <c r="S10" s="4"/>
      <c r="T10" s="10">
        <f>(T9/360*Trade!$C$22-0.5*Trade!$E$8)*Playout!$B$21</f>
        <v>282500.00000000012</v>
      </c>
      <c r="U10" s="4"/>
      <c r="V10" s="10">
        <f>(V9/360*Trade!$C$22-0.5*Trade!$E$8)*Playout!$B$21</f>
        <v>282500.00000000012</v>
      </c>
      <c r="X10" s="4"/>
    </row>
    <row r="11" spans="1:24" x14ac:dyDescent="0.15">
      <c r="A11" t="s">
        <v>45</v>
      </c>
      <c r="B11" s="4">
        <f>B8+B10</f>
        <v>0</v>
      </c>
      <c r="C11" s="4">
        <f t="shared" ref="C11:V11" si="3">C8+C10</f>
        <v>-62243.419446666696</v>
      </c>
      <c r="D11" s="4">
        <f t="shared" si="3"/>
        <v>259046.65111111116</v>
      </c>
      <c r="E11" s="4">
        <f t="shared" si="3"/>
        <v>-47555.669999999969</v>
      </c>
      <c r="F11" s="4">
        <f t="shared" si="3"/>
        <v>239950.19000000012</v>
      </c>
      <c r="G11" s="4">
        <f t="shared" si="3"/>
        <v>-55064.460000000014</v>
      </c>
      <c r="H11" s="4">
        <f t="shared" si="3"/>
        <v>55973.215138888976</v>
      </c>
      <c r="I11" s="4">
        <f t="shared" si="3"/>
        <v>-275948.03250000003</v>
      </c>
      <c r="J11" s="4">
        <f t="shared" si="3"/>
        <v>10148.677910000144</v>
      </c>
      <c r="K11" s="4">
        <f t="shared" si="3"/>
        <v>-183497.30708999999</v>
      </c>
      <c r="L11" s="4">
        <f t="shared" si="3"/>
        <v>-268770.3324999999</v>
      </c>
      <c r="M11" s="4">
        <f t="shared" si="3"/>
        <v>-331638.22500000003</v>
      </c>
      <c r="N11" s="4">
        <f t="shared" si="3"/>
        <v>46754.029160000122</v>
      </c>
      <c r="O11" s="4">
        <f t="shared" si="3"/>
        <v>-111380.38500000002</v>
      </c>
      <c r="P11" s="4">
        <f t="shared" si="3"/>
        <v>230719.38416000013</v>
      </c>
      <c r="Q11" s="4">
        <f t="shared" si="3"/>
        <v>-60228.004590000004</v>
      </c>
      <c r="R11" s="4">
        <f t="shared" si="3"/>
        <v>239574.75050000011</v>
      </c>
      <c r="S11" s="4">
        <f t="shared" si="3"/>
        <v>-101103.35442</v>
      </c>
      <c r="T11" s="4">
        <f t="shared" si="3"/>
        <v>247458.98000000013</v>
      </c>
      <c r="U11" s="4">
        <f t="shared" si="3"/>
        <v>-38247.273330000004</v>
      </c>
      <c r="V11" s="4">
        <f t="shared" si="3"/>
        <v>219175.8710000001</v>
      </c>
      <c r="X11" s="4"/>
    </row>
    <row r="13" spans="1:24" x14ac:dyDescent="0.15">
      <c r="A13" s="14" t="s">
        <v>117</v>
      </c>
      <c r="D13" s="17">
        <f>C11*(D5-C5)/360*C6</f>
        <v>-854.1871928730892</v>
      </c>
      <c r="E13" s="17">
        <f>D11*(E5-D5)/360*D6</f>
        <v>3471.2251248888897</v>
      </c>
      <c r="F13" s="17">
        <f t="shared" ref="E13:V13" si="4">E11*(F5-E5)/360*E6</f>
        <v>-643.12438720833291</v>
      </c>
      <c r="G13" s="17">
        <f t="shared" si="4"/>
        <v>3251.0584631777797</v>
      </c>
      <c r="H13" s="17">
        <f t="shared" si="4"/>
        <v>-727.79346848541684</v>
      </c>
      <c r="I13" s="17">
        <f t="shared" si="4"/>
        <v>665.34661170408083</v>
      </c>
      <c r="J13" s="17">
        <f t="shared" si="4"/>
        <v>-1875.065577749569</v>
      </c>
      <c r="K13" s="17">
        <f t="shared" si="4"/>
        <v>72.181896543127792</v>
      </c>
      <c r="L13" s="17">
        <f t="shared" si="4"/>
        <v>-1900.3694722879084</v>
      </c>
      <c r="M13" s="17">
        <f t="shared" si="4"/>
        <v>-957.49430953124966</v>
      </c>
      <c r="N13" s="17">
        <f t="shared" si="4"/>
        <v>-999.1622236884167</v>
      </c>
      <c r="O13" s="17">
        <f t="shared" si="4"/>
        <v>71.092098783844634</v>
      </c>
      <c r="P13" s="17">
        <f t="shared" si="4"/>
        <v>-81.657167946933342</v>
      </c>
      <c r="Q13" s="17">
        <f t="shared" si="4"/>
        <v>144.56299813005208</v>
      </c>
      <c r="R13" s="17">
        <f t="shared" si="4"/>
        <v>-44.378837882128757</v>
      </c>
      <c r="S13" s="17">
        <f t="shared" si="4"/>
        <v>326.90294138725682</v>
      </c>
      <c r="T13" s="17">
        <f t="shared" si="4"/>
        <v>-74.928819331266652</v>
      </c>
      <c r="U13" s="17">
        <f t="shared" si="4"/>
        <v>187.33263433450011</v>
      </c>
      <c r="V13" s="17">
        <f t="shared" si="4"/>
        <v>-29.294224098002505</v>
      </c>
    </row>
    <row r="14" spans="1:24" x14ac:dyDescent="0.15">
      <c r="A14" s="14" t="s">
        <v>118</v>
      </c>
      <c r="D14" s="18">
        <f>C14+C11+D13</f>
        <v>-63097.606639539787</v>
      </c>
      <c r="E14" s="18">
        <f>D14+D11+E13</f>
        <v>199420.26959646025</v>
      </c>
      <c r="F14" s="18">
        <f t="shared" ref="E14:V14" si="5">E14+E11+F13</f>
        <v>151221.47520925195</v>
      </c>
      <c r="G14" s="18">
        <f t="shared" si="5"/>
        <v>394422.7236724298</v>
      </c>
      <c r="H14" s="18">
        <f t="shared" si="5"/>
        <v>338630.47020394437</v>
      </c>
      <c r="I14" s="18">
        <f t="shared" si="5"/>
        <v>395269.03195453744</v>
      </c>
      <c r="J14" s="18">
        <f t="shared" si="5"/>
        <v>117445.93387678784</v>
      </c>
      <c r="K14" s="18">
        <f t="shared" si="5"/>
        <v>127666.79368333111</v>
      </c>
      <c r="L14" s="18">
        <f t="shared" si="5"/>
        <v>-57730.882878956785</v>
      </c>
      <c r="M14" s="18">
        <f t="shared" si="5"/>
        <v>-327458.70968848793</v>
      </c>
      <c r="N14" s="18">
        <f>M14+M11+N13</f>
        <v>-660096.09691217646</v>
      </c>
      <c r="O14" s="18">
        <f t="shared" si="5"/>
        <v>-613270.9756533925</v>
      </c>
      <c r="P14" s="18">
        <f t="shared" si="5"/>
        <v>-724733.01782133942</v>
      </c>
      <c r="Q14" s="18">
        <f t="shared" si="5"/>
        <v>-493869.07066320925</v>
      </c>
      <c r="R14" s="18">
        <f t="shared" si="5"/>
        <v>-554141.45409109129</v>
      </c>
      <c r="S14" s="18">
        <f t="shared" si="5"/>
        <v>-314239.80064970395</v>
      </c>
      <c r="T14" s="18">
        <f t="shared" si="5"/>
        <v>-415418.08388903522</v>
      </c>
      <c r="U14" s="18">
        <f t="shared" si="5"/>
        <v>-167771.77125470058</v>
      </c>
      <c r="V14" s="19">
        <f t="shared" si="5"/>
        <v>-206048.33880879858</v>
      </c>
    </row>
    <row r="16" spans="1:24" x14ac:dyDescent="0.15">
      <c r="U16" s="14" t="s">
        <v>119</v>
      </c>
    </row>
    <row r="17" spans="1:21" x14ac:dyDescent="0.15">
      <c r="A17" t="s">
        <v>40</v>
      </c>
      <c r="U17" s="14" t="s">
        <v>120</v>
      </c>
    </row>
    <row r="18" spans="1:21" x14ac:dyDescent="0.15">
      <c r="U18" s="14" t="s">
        <v>121</v>
      </c>
    </row>
    <row r="19" spans="1:21" x14ac:dyDescent="0.15">
      <c r="A19" s="14" t="s">
        <v>114</v>
      </c>
      <c r="U19" s="14" t="s">
        <v>122</v>
      </c>
    </row>
    <row r="20" spans="1:21" x14ac:dyDescent="0.15">
      <c r="A20" t="s">
        <v>41</v>
      </c>
      <c r="B20" s="4">
        <f>B21*Trade!D9/100</f>
        <v>100117200</v>
      </c>
    </row>
    <row r="21" spans="1:21" x14ac:dyDescent="0.15">
      <c r="A21" t="s">
        <v>42</v>
      </c>
      <c r="B21" s="4">
        <v>100000000</v>
      </c>
    </row>
    <row r="22" spans="1:21" x14ac:dyDescent="0.15">
      <c r="D22" s="4"/>
    </row>
    <row r="24" spans="1:21" x14ac:dyDescent="0.15">
      <c r="A24" t="s">
        <v>46</v>
      </c>
    </row>
    <row r="25" spans="1:21" x14ac:dyDescent="0.15">
      <c r="A25" t="s">
        <v>47</v>
      </c>
    </row>
    <row r="26" spans="1:21" x14ac:dyDescent="0.15">
      <c r="B26" t="s">
        <v>82</v>
      </c>
    </row>
    <row r="27" spans="1:21" x14ac:dyDescent="0.15">
      <c r="B27" t="s">
        <v>48</v>
      </c>
    </row>
    <row r="28" spans="1:21" x14ac:dyDescent="0.15">
      <c r="B28" t="s">
        <v>49</v>
      </c>
    </row>
    <row r="29" spans="1:21" x14ac:dyDescent="0.15">
      <c r="B29" t="s">
        <v>50</v>
      </c>
    </row>
    <row r="30" spans="1:21" x14ac:dyDescent="0.15">
      <c r="B30" t="s">
        <v>51</v>
      </c>
    </row>
    <row r="32" spans="1:21" x14ac:dyDescent="0.15">
      <c r="A32" t="s">
        <v>83</v>
      </c>
    </row>
    <row r="33" spans="1:2" x14ac:dyDescent="0.15">
      <c r="B33" t="s">
        <v>84</v>
      </c>
    </row>
    <row r="36" spans="1:2" x14ac:dyDescent="0.15">
      <c r="A36" t="s">
        <v>85</v>
      </c>
    </row>
    <row r="37" spans="1:2" x14ac:dyDescent="0.15">
      <c r="B37" t="s">
        <v>86</v>
      </c>
    </row>
    <row r="38" spans="1:2" x14ac:dyDescent="0.15">
      <c r="B38" t="s">
        <v>87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3:I36"/>
  <sheetViews>
    <sheetView workbookViewId="0">
      <selection activeCell="C27" sqref="C27"/>
    </sheetView>
  </sheetViews>
  <sheetFormatPr baseColWidth="10" defaultColWidth="10.83203125" defaultRowHeight="13" x14ac:dyDescent="0.15"/>
  <cols>
    <col min="1" max="1" width="13.5" customWidth="1"/>
    <col min="2" max="2" width="18.5" customWidth="1"/>
    <col min="3" max="3" width="14.5" customWidth="1"/>
  </cols>
  <sheetData>
    <row r="3" spans="1:9" x14ac:dyDescent="0.15">
      <c r="B3" t="s">
        <v>19</v>
      </c>
    </row>
    <row r="5" spans="1:9" x14ac:dyDescent="0.15">
      <c r="A5" t="s">
        <v>20</v>
      </c>
      <c r="B5" s="2">
        <v>37436</v>
      </c>
      <c r="C5" s="2">
        <v>37528</v>
      </c>
      <c r="D5" s="2">
        <v>37620</v>
      </c>
      <c r="E5" s="2">
        <v>37710</v>
      </c>
      <c r="F5" s="2">
        <v>37801</v>
      </c>
      <c r="G5" s="2">
        <v>37893</v>
      </c>
      <c r="H5" s="2">
        <v>37985</v>
      </c>
      <c r="I5" s="2">
        <v>38076</v>
      </c>
    </row>
    <row r="6" spans="1:9" x14ac:dyDescent="0.15">
      <c r="A6" s="13" t="s">
        <v>27</v>
      </c>
      <c r="B6" s="5">
        <f>Playout!B6</f>
        <v>5.5080999999999998E-2</v>
      </c>
      <c r="C6">
        <v>5.3699999999999998E-2</v>
      </c>
      <c r="D6">
        <v>5.3600000000000002E-2</v>
      </c>
      <c r="E6">
        <v>5.3499999999999999E-2</v>
      </c>
      <c r="F6">
        <v>5.3600000000000002E-2</v>
      </c>
      <c r="G6">
        <v>5.2287500000000001E-2</v>
      </c>
      <c r="H6">
        <v>4.7024999999999997E-2</v>
      </c>
      <c r="I6">
        <v>2.68813E-2</v>
      </c>
    </row>
    <row r="7" spans="1:9" x14ac:dyDescent="0.15">
      <c r="A7" s="13" t="s">
        <v>28</v>
      </c>
      <c r="B7" s="5">
        <f>Playout!B7</f>
        <v>5.2699999999999997E-2</v>
      </c>
      <c r="C7">
        <v>5.1499999999999997E-2</v>
      </c>
      <c r="D7">
        <v>5.1700000000000003E-2</v>
      </c>
      <c r="E7">
        <v>5.1799999999999999E-2</v>
      </c>
      <c r="F7">
        <v>5.1400000000000001E-2</v>
      </c>
      <c r="G7">
        <v>4.4499999999999998E-2</v>
      </c>
      <c r="H7">
        <v>3.5999999999999997E-2</v>
      </c>
      <c r="I7">
        <v>1.6E-2</v>
      </c>
    </row>
    <row r="8" spans="1:9" x14ac:dyDescent="0.15">
      <c r="A8" t="s">
        <v>44</v>
      </c>
      <c r="B8" s="5"/>
      <c r="C8" s="6">
        <f>Playout!C8</f>
        <v>-62243.419446666696</v>
      </c>
      <c r="D8" s="6">
        <f>Playout!D8</f>
        <v>-55064.460000000014</v>
      </c>
      <c r="E8" s="6">
        <f>Playout!E8</f>
        <v>-47555.669999999969</v>
      </c>
      <c r="F8" s="6">
        <f>Playout!F8</f>
        <v>-42549.810000000005</v>
      </c>
      <c r="G8" s="6">
        <f>Playout!G8</f>
        <v>-55064.460000000014</v>
      </c>
      <c r="H8" s="6">
        <f>Playout!H8</f>
        <v>-194915.67375000007</v>
      </c>
      <c r="I8" s="6">
        <f>Playout!I8</f>
        <v>-275948.03250000003</v>
      </c>
    </row>
    <row r="9" spans="1:9" x14ac:dyDescent="0.15">
      <c r="A9" t="s">
        <v>43</v>
      </c>
      <c r="B9" s="5"/>
      <c r="D9" s="6">
        <f>Playout!D10</f>
        <v>314111.11111111118</v>
      </c>
      <c r="E9" s="4"/>
      <c r="F9" s="6">
        <f>Playout!F10</f>
        <v>282500.00000000012</v>
      </c>
      <c r="G9" s="4"/>
      <c r="H9" s="6">
        <f>Playout!H10</f>
        <v>250888.88888888905</v>
      </c>
      <c r="I9" s="4"/>
    </row>
    <row r="10" spans="1:9" x14ac:dyDescent="0.15">
      <c r="A10" s="13" t="s">
        <v>29</v>
      </c>
      <c r="B10" s="5"/>
      <c r="C10" s="4">
        <f>C8+C9</f>
        <v>-62243.419446666696</v>
      </c>
      <c r="D10" s="4">
        <f t="shared" ref="D10:I10" si="0">D8+D9</f>
        <v>259046.65111111116</v>
      </c>
      <c r="E10" s="4">
        <f t="shared" si="0"/>
        <v>-47555.669999999969</v>
      </c>
      <c r="F10" s="4">
        <f t="shared" si="0"/>
        <v>239950.19000000012</v>
      </c>
      <c r="G10" s="4">
        <f t="shared" si="0"/>
        <v>-55064.460000000014</v>
      </c>
      <c r="H10" s="4">
        <f t="shared" si="0"/>
        <v>55973.215138888976</v>
      </c>
      <c r="I10" s="4">
        <f t="shared" si="0"/>
        <v>-275948.03250000003</v>
      </c>
    </row>
    <row r="12" spans="1:9" x14ac:dyDescent="0.15">
      <c r="A12" t="s">
        <v>88</v>
      </c>
    </row>
    <row r="13" spans="1:9" x14ac:dyDescent="0.15">
      <c r="A13" t="s">
        <v>89</v>
      </c>
    </row>
    <row r="15" spans="1:9" x14ac:dyDescent="0.15">
      <c r="A15" t="s">
        <v>90</v>
      </c>
    </row>
    <row r="16" spans="1:9" x14ac:dyDescent="0.15">
      <c r="B16" t="s">
        <v>91</v>
      </c>
      <c r="C16">
        <v>110.23</v>
      </c>
    </row>
    <row r="17" spans="1:3" x14ac:dyDescent="0.15">
      <c r="B17" t="s">
        <v>92</v>
      </c>
      <c r="C17">
        <f>(I5-H5)*50*Trade!E8/(Playout!J3-Playout!H3)</f>
        <v>1.28125</v>
      </c>
    </row>
    <row r="19" spans="1:3" x14ac:dyDescent="0.15">
      <c r="A19" t="s">
        <v>93</v>
      </c>
      <c r="C19" s="7">
        <f>(C16+C17)/100*Playout!B21</f>
        <v>111511250</v>
      </c>
    </row>
    <row r="22" spans="1:3" x14ac:dyDescent="0.15">
      <c r="A22" t="s">
        <v>38</v>
      </c>
    </row>
    <row r="23" spans="1:3" x14ac:dyDescent="0.15">
      <c r="C23" s="7">
        <f>'Swap Value'!K22</f>
        <v>10563977.630881578</v>
      </c>
    </row>
    <row r="27" spans="1:3" x14ac:dyDescent="0.15">
      <c r="A27" t="s">
        <v>74</v>
      </c>
      <c r="C27" s="4">
        <f>Playout!B20</f>
        <v>100117200</v>
      </c>
    </row>
    <row r="30" spans="1:3" x14ac:dyDescent="0.15">
      <c r="A30" t="s">
        <v>73</v>
      </c>
      <c r="C30" s="7">
        <f>C27+C23-C19</f>
        <v>-830072.36911842227</v>
      </c>
    </row>
    <row r="33" spans="1:4" x14ac:dyDescent="0.15">
      <c r="A33" t="s">
        <v>78</v>
      </c>
      <c r="C33" s="7">
        <f>C30+SUM(C10:I10)</f>
        <v>-715913.89481508872</v>
      </c>
      <c r="D33" s="13" t="s">
        <v>1</v>
      </c>
    </row>
    <row r="36" spans="1:4" x14ac:dyDescent="0.15">
      <c r="A36" t="s">
        <v>65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T37"/>
  <sheetViews>
    <sheetView workbookViewId="0">
      <selection activeCell="L23" sqref="L23"/>
    </sheetView>
  </sheetViews>
  <sheetFormatPr baseColWidth="10" defaultColWidth="8.6640625" defaultRowHeight="13" x14ac:dyDescent="0.15"/>
  <cols>
    <col min="1" max="1" width="11" customWidth="1"/>
    <col min="2" max="4" width="11.5" customWidth="1"/>
    <col min="5" max="5" width="10.5" bestFit="1" customWidth="1"/>
    <col min="6" max="6" width="11.83203125" bestFit="1" customWidth="1"/>
    <col min="7" max="7" width="9.5" bestFit="1" customWidth="1"/>
    <col min="8" max="10" width="11.83203125" bestFit="1" customWidth="1"/>
    <col min="11" max="11" width="15.83203125" bestFit="1" customWidth="1"/>
    <col min="12" max="12" width="15" customWidth="1"/>
    <col min="13" max="13" width="18" customWidth="1"/>
    <col min="14" max="15" width="11.83203125" bestFit="1" customWidth="1"/>
    <col min="16" max="17" width="9.5" bestFit="1" customWidth="1"/>
    <col min="18" max="18" width="10.5" bestFit="1" customWidth="1"/>
    <col min="19" max="20" width="9.5" bestFit="1" customWidth="1"/>
  </cols>
  <sheetData>
    <row r="1" spans="1:13" x14ac:dyDescent="0.15">
      <c r="A1" s="20" t="s">
        <v>123</v>
      </c>
      <c r="E1" s="2">
        <v>38076</v>
      </c>
    </row>
    <row r="2" spans="1:13" x14ac:dyDescent="0.15">
      <c r="A2" s="13"/>
    </row>
    <row r="3" spans="1:13" x14ac:dyDescent="0.15">
      <c r="B3" s="14" t="s">
        <v>124</v>
      </c>
      <c r="C3" s="14"/>
    </row>
    <row r="4" spans="1:13" x14ac:dyDescent="0.15">
      <c r="A4" s="13"/>
    </row>
    <row r="5" spans="1:13" x14ac:dyDescent="0.15">
      <c r="J5" s="14" t="s">
        <v>127</v>
      </c>
    </row>
    <row r="6" spans="1:13" x14ac:dyDescent="0.15">
      <c r="A6" s="2">
        <v>38076</v>
      </c>
      <c r="B6" s="2" t="str">
        <f>TEXT(A6,"ddd")</f>
        <v>Mon</v>
      </c>
      <c r="C6" s="2"/>
      <c r="E6" s="14" t="s">
        <v>125</v>
      </c>
      <c r="F6" s="14" t="s">
        <v>126</v>
      </c>
      <c r="J6" s="14" t="s">
        <v>128</v>
      </c>
      <c r="K6" s="14" t="s">
        <v>129</v>
      </c>
      <c r="L6" s="14" t="s">
        <v>130</v>
      </c>
      <c r="M6" s="14" t="s">
        <v>131</v>
      </c>
    </row>
    <row r="7" spans="1:13" x14ac:dyDescent="0.15">
      <c r="A7" s="13" t="s">
        <v>27</v>
      </c>
      <c r="B7" s="2">
        <f>Playout!J5</f>
        <v>38167</v>
      </c>
      <c r="C7" s="2" t="str">
        <f>TEXT(B7,"ddd")</f>
        <v>Mon</v>
      </c>
      <c r="D7">
        <v>2.68813E-2</v>
      </c>
      <c r="E7">
        <f>1+D7*(B7-$A$6)/360</f>
        <v>1.0067949952777777</v>
      </c>
      <c r="F7">
        <f>1/E7</f>
        <v>0.99325086506225335</v>
      </c>
      <c r="J7" s="2">
        <f>Playout!J5</f>
        <v>38167</v>
      </c>
      <c r="K7" s="17">
        <f>Trade!$C$22*Playout!J9/360*Playout!$B$21</f>
        <v>2844999.9999999995</v>
      </c>
      <c r="L7">
        <f>F7</f>
        <v>0.99325086506225335</v>
      </c>
      <c r="M7" s="18">
        <f>K7*L7</f>
        <v>2825798.7111021103</v>
      </c>
    </row>
    <row r="8" spans="1:13" x14ac:dyDescent="0.15">
      <c r="A8" s="13" t="s">
        <v>30</v>
      </c>
      <c r="B8" s="2">
        <f>Playout!K5</f>
        <v>38259</v>
      </c>
      <c r="C8" s="2" t="str">
        <f t="shared" ref="C8:C22" si="0">TEXT(B8,"ddd")</f>
        <v>Tue</v>
      </c>
      <c r="D8">
        <v>2.5145000000000001E-2</v>
      </c>
      <c r="E8">
        <f t="shared" ref="E8:E19" si="1">1+D8*(B8-$A$6)/360</f>
        <v>1.0127820416666666</v>
      </c>
      <c r="F8">
        <f t="shared" ref="F8:F19" si="2">1/E8</f>
        <v>0.98737927694133276</v>
      </c>
      <c r="J8" s="2">
        <f>Playout!L5</f>
        <v>38351</v>
      </c>
      <c r="K8" s="17">
        <f>Trade!$C$22*Playout!L9/360*Playout!$B$21</f>
        <v>2844999.9999999995</v>
      </c>
      <c r="L8">
        <f>F9</f>
        <v>0.9821752449318274</v>
      </c>
      <c r="M8" s="18">
        <f t="shared" ref="M8:M12" si="3">K8*L8</f>
        <v>2794288.5718310485</v>
      </c>
    </row>
    <row r="9" spans="1:13" x14ac:dyDescent="0.15">
      <c r="A9" s="13" t="s">
        <v>31</v>
      </c>
      <c r="B9" s="2">
        <f>Playout!L5</f>
        <v>38351</v>
      </c>
      <c r="C9" s="2" t="str">
        <f t="shared" si="0"/>
        <v>Wed</v>
      </c>
      <c r="D9">
        <v>2.37577E-2</v>
      </c>
      <c r="E9">
        <f t="shared" si="1"/>
        <v>1.0181482430555555</v>
      </c>
      <c r="F9">
        <f t="shared" si="2"/>
        <v>0.9821752449318274</v>
      </c>
      <c r="J9" s="2">
        <f>Playout!N5</f>
        <v>38532</v>
      </c>
      <c r="K9" s="17">
        <f>Trade!$C$22*Playout!N9/360*Playout!$B$21</f>
        <v>2844999.9999999995</v>
      </c>
      <c r="L9">
        <f>F11</f>
        <v>0.97166962470970886</v>
      </c>
      <c r="M9" s="18">
        <f t="shared" si="3"/>
        <v>2764400.0822991212</v>
      </c>
    </row>
    <row r="10" spans="1:13" x14ac:dyDescent="0.15">
      <c r="A10" s="13" t="s">
        <v>32</v>
      </c>
      <c r="B10" s="2">
        <f>Playout!M5</f>
        <v>38441</v>
      </c>
      <c r="C10" s="2" t="str">
        <f t="shared" si="0"/>
        <v>Tue</v>
      </c>
      <c r="D10">
        <v>2.3194099999999999E-2</v>
      </c>
      <c r="E10">
        <f t="shared" si="1"/>
        <v>1.0235162402777778</v>
      </c>
      <c r="F10">
        <f t="shared" si="2"/>
        <v>0.97702406727674829</v>
      </c>
      <c r="J10" s="2">
        <f>Playout!P5</f>
        <v>38716</v>
      </c>
      <c r="K10" s="17">
        <f>Trade!$C$22*Playout!P9/360*Playout!$B$21</f>
        <v>2844999.9999999995</v>
      </c>
      <c r="L10">
        <f>F13</f>
        <v>0.95969388068471473</v>
      </c>
      <c r="M10" s="18">
        <f t="shared" si="3"/>
        <v>2730329.0905480129</v>
      </c>
    </row>
    <row r="11" spans="1:13" x14ac:dyDescent="0.15">
      <c r="A11" s="13" t="s">
        <v>33</v>
      </c>
      <c r="B11" s="2">
        <f>Playout!N5</f>
        <v>38532</v>
      </c>
      <c r="C11" s="2" t="str">
        <f t="shared" si="0"/>
        <v>Tue</v>
      </c>
      <c r="D11">
        <v>2.3018199999999999E-2</v>
      </c>
      <c r="E11">
        <f t="shared" si="1"/>
        <v>1.0291563866666666</v>
      </c>
      <c r="F11">
        <f t="shared" si="2"/>
        <v>0.97166962470970886</v>
      </c>
      <c r="J11" s="2">
        <f>Playout!R5</f>
        <v>38897</v>
      </c>
      <c r="K11" s="17">
        <f>Trade!$C$22*Playout!R9/360*Playout!$B$21</f>
        <v>2844999.9999999995</v>
      </c>
      <c r="L11">
        <f>F14</f>
        <v>0.95325859588228723</v>
      </c>
      <c r="M11" s="18">
        <f t="shared" si="3"/>
        <v>2712020.7052851068</v>
      </c>
    </row>
    <row r="12" spans="1:13" x14ac:dyDescent="0.15">
      <c r="A12" s="13" t="s">
        <v>34</v>
      </c>
      <c r="B12" s="2">
        <f>Playout!O5</f>
        <v>38624</v>
      </c>
      <c r="C12" s="2" t="str">
        <f t="shared" si="0"/>
        <v>Wed</v>
      </c>
      <c r="D12">
        <v>2.3219699999999999E-2</v>
      </c>
      <c r="E12">
        <f t="shared" si="1"/>
        <v>1.0353455433333334</v>
      </c>
      <c r="F12">
        <f t="shared" si="2"/>
        <v>0.96586111413631326</v>
      </c>
      <c r="J12" s="2">
        <f>Playout!T5</f>
        <v>39081</v>
      </c>
      <c r="K12" s="17">
        <f>Trade!$C$22*Playout!T9/360*Playout!$B$21</f>
        <v>2844999.9999999995</v>
      </c>
      <c r="L12">
        <f>F17</f>
        <v>0.93082199665912291</v>
      </c>
      <c r="M12" s="18">
        <f t="shared" si="3"/>
        <v>2648188.5804952043</v>
      </c>
    </row>
    <row r="13" spans="1:13" x14ac:dyDescent="0.15">
      <c r="A13" s="13" t="s">
        <v>35</v>
      </c>
      <c r="B13" s="2">
        <f>Playout!P5</f>
        <v>38716</v>
      </c>
      <c r="C13" s="2" t="str">
        <f t="shared" si="0"/>
        <v>Thu</v>
      </c>
      <c r="D13">
        <v>2.36244E-2</v>
      </c>
      <c r="E13">
        <f t="shared" si="1"/>
        <v>1.0419989333333333</v>
      </c>
      <c r="F13">
        <f t="shared" si="2"/>
        <v>0.95969388068471473</v>
      </c>
      <c r="J13" s="2">
        <f>Playout!V5</f>
        <v>39262</v>
      </c>
      <c r="K13" s="17">
        <f>(1+Trade!$C$22*Playout!V9/360)*Playout!$B$21</f>
        <v>102845000.00000001</v>
      </c>
      <c r="L13">
        <f>F19</f>
        <v>0.9148617034306088</v>
      </c>
      <c r="M13" s="18">
        <f>K13*L13</f>
        <v>94088951.88932097</v>
      </c>
    </row>
    <row r="14" spans="1:13" x14ac:dyDescent="0.15">
      <c r="A14" s="13" t="s">
        <v>36</v>
      </c>
      <c r="B14" s="2">
        <f>Playout!Q5</f>
        <v>38806</v>
      </c>
      <c r="C14" s="2" t="str">
        <f t="shared" si="0"/>
        <v>Wed</v>
      </c>
      <c r="D14">
        <v>2.4180799999999999E-2</v>
      </c>
      <c r="E14">
        <f t="shared" si="1"/>
        <v>1.0490332888888889</v>
      </c>
      <c r="F14">
        <f t="shared" si="2"/>
        <v>0.95325859588228723</v>
      </c>
      <c r="J14" s="2"/>
    </row>
    <row r="15" spans="1:13" x14ac:dyDescent="0.15">
      <c r="A15" s="14" t="s">
        <v>132</v>
      </c>
      <c r="B15" s="2">
        <f>Playout!R5</f>
        <v>38897</v>
      </c>
      <c r="C15" s="2" t="str">
        <f t="shared" si="0"/>
        <v>Wed</v>
      </c>
      <c r="D15">
        <v>2.4994474999999999E-2</v>
      </c>
      <c r="E15">
        <f t="shared" si="1"/>
        <v>1.0570012888194444</v>
      </c>
      <c r="F15">
        <f t="shared" si="2"/>
        <v>0.94607264019222848</v>
      </c>
      <c r="J15" s="2"/>
      <c r="M15" s="18">
        <f>SUM(M7:M13)</f>
        <v>110563977.63088158</v>
      </c>
    </row>
    <row r="16" spans="1:13" x14ac:dyDescent="0.15">
      <c r="A16" s="14" t="s">
        <v>133</v>
      </c>
      <c r="B16" s="2">
        <f>Playout!S5</f>
        <v>38989</v>
      </c>
      <c r="C16" s="2" t="str">
        <f t="shared" si="0"/>
        <v>Thu</v>
      </c>
      <c r="D16">
        <v>2.5808150000000002E-2</v>
      </c>
      <c r="E16">
        <f t="shared" si="1"/>
        <v>1.0654523359722223</v>
      </c>
      <c r="F16">
        <f t="shared" si="2"/>
        <v>0.93856849925388985</v>
      </c>
      <c r="J16" s="2"/>
    </row>
    <row r="17" spans="1:20" x14ac:dyDescent="0.15">
      <c r="A17" s="14" t="s">
        <v>134</v>
      </c>
      <c r="B17" s="2">
        <f>Playout!T5</f>
        <v>39081</v>
      </c>
      <c r="C17" s="2" t="str">
        <f t="shared" si="0"/>
        <v>Fri</v>
      </c>
      <c r="D17">
        <v>2.6621825000000002E-2</v>
      </c>
      <c r="E17">
        <f t="shared" si="1"/>
        <v>1.0743192614583332</v>
      </c>
      <c r="F17">
        <f t="shared" si="2"/>
        <v>0.93082199665912291</v>
      </c>
      <c r="J17" s="2"/>
    </row>
    <row r="18" spans="1:20" x14ac:dyDescent="0.15">
      <c r="A18" s="13" t="s">
        <v>37</v>
      </c>
      <c r="B18" s="2">
        <f>Playout!U5</f>
        <v>39171</v>
      </c>
      <c r="C18" s="2" t="str">
        <f t="shared" si="0"/>
        <v>Thu</v>
      </c>
      <c r="D18">
        <v>2.7435500000000002E-2</v>
      </c>
      <c r="E18">
        <f t="shared" si="1"/>
        <v>1.0834496458333334</v>
      </c>
      <c r="F18">
        <f t="shared" si="2"/>
        <v>0.92297782720751342</v>
      </c>
      <c r="J18" s="2"/>
    </row>
    <row r="19" spans="1:20" x14ac:dyDescent="0.15">
      <c r="A19" s="14" t="s">
        <v>135</v>
      </c>
      <c r="B19" s="2">
        <f>Playout!V5</f>
        <v>39262</v>
      </c>
      <c r="C19" s="2" t="str">
        <f t="shared" si="0"/>
        <v>Thu</v>
      </c>
      <c r="D19">
        <v>2.8247975000000002E-2</v>
      </c>
      <c r="E19">
        <f t="shared" si="1"/>
        <v>1.0930613843055557</v>
      </c>
      <c r="F19">
        <f t="shared" si="2"/>
        <v>0.9148617034306088</v>
      </c>
    </row>
    <row r="20" spans="1:20" x14ac:dyDescent="0.15">
      <c r="A20" s="13"/>
      <c r="B20" s="2"/>
      <c r="C20" s="2"/>
    </row>
    <row r="21" spans="1:20" x14ac:dyDescent="0.15">
      <c r="A21" s="13"/>
      <c r="B21" s="2"/>
      <c r="C21" s="2"/>
    </row>
    <row r="22" spans="1:20" x14ac:dyDescent="0.15">
      <c r="A22" s="14" t="s">
        <v>136</v>
      </c>
      <c r="B22" s="2"/>
      <c r="C22" s="2"/>
      <c r="K22" s="18">
        <f>M15-Playout!B21</f>
        <v>10563977.630881578</v>
      </c>
      <c r="L22" s="14" t="s">
        <v>137</v>
      </c>
    </row>
    <row r="23" spans="1:20" x14ac:dyDescent="0.15">
      <c r="B23" s="2"/>
    </row>
    <row r="25" spans="1:20" x14ac:dyDescent="0.15">
      <c r="A25" s="13"/>
    </row>
    <row r="26" spans="1:20" x14ac:dyDescent="0.15">
      <c r="A26" s="13"/>
    </row>
    <row r="27" spans="1:20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15">
      <c r="A28" s="13"/>
    </row>
    <row r="29" spans="1:20" x14ac:dyDescent="0.15">
      <c r="A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0" x14ac:dyDescent="0.15">
      <c r="A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0" x14ac:dyDescent="0.15">
      <c r="A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0" x14ac:dyDescent="0.15">
      <c r="B32" s="13"/>
      <c r="C32" s="13"/>
    </row>
    <row r="33" spans="1:16" x14ac:dyDescent="0.15">
      <c r="A33" s="13"/>
      <c r="B33" s="13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15">
      <c r="A34" s="2"/>
      <c r="B34" s="10"/>
      <c r="C34" s="10"/>
    </row>
    <row r="37" spans="1:16" x14ac:dyDescent="0.15">
      <c r="A37" s="14"/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Y50"/>
  <sheetViews>
    <sheetView tabSelected="1" topLeftCell="A12" workbookViewId="0">
      <selection activeCell="C3" sqref="C3"/>
    </sheetView>
  </sheetViews>
  <sheetFormatPr baseColWidth="10" defaultColWidth="10.83203125" defaultRowHeight="13" x14ac:dyDescent="0.15"/>
  <cols>
    <col min="1" max="1" width="19.1640625" customWidth="1"/>
    <col min="2" max="2" width="13" customWidth="1"/>
    <col min="3" max="3" width="17.1640625" customWidth="1"/>
    <col min="4" max="4" width="14.6640625" customWidth="1"/>
    <col min="5" max="5" width="14.5" customWidth="1"/>
    <col min="6" max="6" width="15.6640625" customWidth="1"/>
    <col min="7" max="7" width="15.33203125" customWidth="1"/>
    <col min="8" max="8" width="15.6640625" customWidth="1"/>
    <col min="9" max="9" width="17.33203125" customWidth="1"/>
    <col min="10" max="10" width="16.5" customWidth="1"/>
    <col min="11" max="11" width="14.33203125" customWidth="1"/>
    <col min="12" max="12" width="14.6640625" customWidth="1"/>
    <col min="13" max="13" width="15.1640625" customWidth="1"/>
    <col min="14" max="14" width="14.33203125" customWidth="1"/>
    <col min="15" max="15" width="14.83203125" customWidth="1"/>
    <col min="16" max="16" width="16.6640625" customWidth="1"/>
    <col min="17" max="21" width="12.1640625" bestFit="1" customWidth="1"/>
  </cols>
  <sheetData>
    <row r="1" spans="1:22" x14ac:dyDescent="0.15">
      <c r="A1" t="s">
        <v>75</v>
      </c>
    </row>
    <row r="2" spans="1:22" x14ac:dyDescent="0.15">
      <c r="A2" t="s">
        <v>76</v>
      </c>
      <c r="C2">
        <v>0</v>
      </c>
    </row>
    <row r="3" spans="1:22" x14ac:dyDescent="0.15">
      <c r="A3" t="s">
        <v>77</v>
      </c>
    </row>
    <row r="5" spans="1:22" x14ac:dyDescent="0.15">
      <c r="A5" t="s">
        <v>79</v>
      </c>
    </row>
    <row r="6" spans="1:22" x14ac:dyDescent="0.15">
      <c r="A6" s="14" t="s">
        <v>138</v>
      </c>
    </row>
    <row r="7" spans="1:22" x14ac:dyDescent="0.15">
      <c r="A7" t="s">
        <v>80</v>
      </c>
    </row>
    <row r="9" spans="1:22" x14ac:dyDescent="0.15">
      <c r="A9" t="s">
        <v>81</v>
      </c>
    </row>
    <row r="10" spans="1:22" x14ac:dyDescent="0.15">
      <c r="A10" t="s">
        <v>66</v>
      </c>
    </row>
    <row r="12" spans="1:22" x14ac:dyDescent="0.15">
      <c r="A12" t="str">
        <f>Playout!A3</f>
        <v>Nat Swap Dates:</v>
      </c>
      <c r="B12" s="2">
        <f>Playout!B5</f>
        <v>37436</v>
      </c>
      <c r="C12" s="2">
        <f>Playout!C5</f>
        <v>37530</v>
      </c>
      <c r="D12" s="2">
        <f>Playout!D5</f>
        <v>37622</v>
      </c>
      <c r="E12" s="2">
        <f>Playout!E5</f>
        <v>37712</v>
      </c>
      <c r="F12" s="2">
        <f>Playout!F5</f>
        <v>37803</v>
      </c>
      <c r="G12" s="2">
        <f>Playout!G5</f>
        <v>37894</v>
      </c>
      <c r="H12" s="2">
        <f>Playout!H5</f>
        <v>37985</v>
      </c>
      <c r="I12" s="2">
        <f>Playout!I5</f>
        <v>38076</v>
      </c>
      <c r="J12" s="2">
        <f>Playout!J5</f>
        <v>38167</v>
      </c>
      <c r="K12" s="2">
        <f>Playout!K5</f>
        <v>38259</v>
      </c>
      <c r="L12" s="2">
        <f>Playout!L5</f>
        <v>38351</v>
      </c>
      <c r="M12" s="2">
        <f>Playout!M5</f>
        <v>38441</v>
      </c>
      <c r="N12" s="2">
        <f>Playout!N5</f>
        <v>38532</v>
      </c>
      <c r="O12" s="2">
        <f>Playout!O5</f>
        <v>38624</v>
      </c>
      <c r="P12" s="2">
        <f>Playout!P5</f>
        <v>38716</v>
      </c>
      <c r="Q12" s="2">
        <f>Playout!Q5</f>
        <v>38806</v>
      </c>
      <c r="R12" s="2">
        <f>Playout!R5</f>
        <v>38897</v>
      </c>
      <c r="S12" s="2">
        <f>Playout!S5</f>
        <v>38989</v>
      </c>
      <c r="T12" s="2">
        <f>Playout!T5</f>
        <v>39081</v>
      </c>
      <c r="U12" s="2">
        <f>Playout!U5</f>
        <v>39171</v>
      </c>
      <c r="V12" s="2">
        <f>Playout!V5</f>
        <v>39262</v>
      </c>
    </row>
    <row r="13" spans="1:22" x14ac:dyDescent="0.15">
      <c r="A13" t="str">
        <f>Playout!A6</f>
        <v>90-day Libor</v>
      </c>
      <c r="B13">
        <f>Playout!B6</f>
        <v>5.5080999999999998E-2</v>
      </c>
      <c r="C13">
        <f>Playout!C6</f>
        <v>5.3699999999999998E-2</v>
      </c>
      <c r="D13">
        <f>Playout!D6</f>
        <v>5.3600000000000002E-2</v>
      </c>
      <c r="E13">
        <f>Playout!E6</f>
        <v>5.3499999999999999E-2</v>
      </c>
      <c r="F13">
        <f>Playout!F6</f>
        <v>5.3600000000000002E-2</v>
      </c>
      <c r="G13">
        <f>Playout!G6</f>
        <v>5.2287500000000001E-2</v>
      </c>
      <c r="H13">
        <f>Playout!H6</f>
        <v>4.7024999999999997E-2</v>
      </c>
      <c r="I13">
        <f>Playout!I6</f>
        <v>2.68813E-2</v>
      </c>
      <c r="J13">
        <f>Playout!J6</f>
        <v>2.78313E-2</v>
      </c>
      <c r="K13">
        <f>Playout!K6</f>
        <v>4.0524999999999999E-2</v>
      </c>
      <c r="L13">
        <f>Playout!L6</f>
        <v>1.4250000000000001E-2</v>
      </c>
      <c r="M13">
        <f>Playout!M6</f>
        <v>1.19188E-2</v>
      </c>
      <c r="N13">
        <f>Playout!N6</f>
        <v>5.9500000000000004E-3</v>
      </c>
      <c r="O13">
        <f>Playout!O6</f>
        <v>2.8687999999999999E-3</v>
      </c>
      <c r="P13">
        <f>Playout!P6</f>
        <v>2.5062999999999999E-3</v>
      </c>
      <c r="Q13">
        <f>Playout!Q6</f>
        <v>2.9150000000000001E-3</v>
      </c>
      <c r="R13">
        <f>Playout!R6</f>
        <v>5.3394000000000002E-3</v>
      </c>
      <c r="S13">
        <f>Playout!S6</f>
        <v>2.8999999999999998E-3</v>
      </c>
      <c r="T13">
        <f>Playout!T6</f>
        <v>3.0281000000000001E-3</v>
      </c>
      <c r="U13">
        <f>Playout!U6</f>
        <v>3.0300000000000001E-3</v>
      </c>
      <c r="V13">
        <f>Playout!V6</f>
        <v>2.4575E-3</v>
      </c>
    </row>
    <row r="14" spans="1:22" x14ac:dyDescent="0.15">
      <c r="A14" t="str">
        <f>Playout!A7</f>
        <v>Repo*</v>
      </c>
      <c r="B14">
        <f>Playout!B7</f>
        <v>5.2699999999999997E-2</v>
      </c>
      <c r="C14">
        <f>Playout!C7</f>
        <v>5.1499999999999997E-2</v>
      </c>
      <c r="D14">
        <f>Playout!D7</f>
        <v>5.1700000000000003E-2</v>
      </c>
      <c r="E14">
        <f>Playout!E7</f>
        <v>5.1799999999999999E-2</v>
      </c>
      <c r="F14">
        <f>Playout!F7</f>
        <v>5.1400000000000001E-2</v>
      </c>
      <c r="G14">
        <f>Playout!G7</f>
        <v>4.4499999999999998E-2</v>
      </c>
      <c r="H14">
        <f>Playout!H7</f>
        <v>3.5999999999999997E-2</v>
      </c>
      <c r="I14">
        <f>Playout!I7</f>
        <v>1.6E-2</v>
      </c>
      <c r="J14">
        <f>Playout!J7</f>
        <v>2.0500000000000001E-2</v>
      </c>
      <c r="K14">
        <f>Playout!K7</f>
        <v>1.8499999999999999E-2</v>
      </c>
      <c r="L14">
        <f>Playout!L7</f>
        <v>1E-3</v>
      </c>
      <c r="M14">
        <f>Playout!M7</f>
        <v>2.5000000000000001E-3</v>
      </c>
      <c r="N14">
        <f>Playout!N7</f>
        <v>1.5E-3</v>
      </c>
      <c r="O14">
        <f>Playout!O7</f>
        <v>8.0000000000000004E-4</v>
      </c>
      <c r="P14">
        <f>Playout!P7</f>
        <v>1E-4</v>
      </c>
      <c r="Q14">
        <f>Playout!Q7</f>
        <v>1.1999999999999999E-3</v>
      </c>
      <c r="R14">
        <f>Playout!R7</f>
        <v>1.2999999999999999E-3</v>
      </c>
      <c r="S14">
        <f>Playout!S7</f>
        <v>1.5E-3</v>
      </c>
      <c r="T14">
        <f>Playout!T7</f>
        <v>1.5E-3</v>
      </c>
      <c r="U14">
        <f>Playout!U7</f>
        <v>5.0000000000000001E-4</v>
      </c>
      <c r="V14">
        <f>Playout!V7</f>
        <v>8.9999999999999998E-4</v>
      </c>
    </row>
    <row r="15" spans="1:22" x14ac:dyDescent="0.15">
      <c r="A15" t="str">
        <f>Playout!A8</f>
        <v>Fin. Cash Flow:</v>
      </c>
      <c r="B15" s="4"/>
      <c r="C15" s="4">
        <f>(B14*B25-B13*Playout!$B$20)/4</f>
        <v>-59594.763299999991</v>
      </c>
      <c r="D15" s="4">
        <f>(C14*C25-C13*Playout!$B$20)/4</f>
        <v>-11534.704522849526</v>
      </c>
      <c r="E15" s="4">
        <f>(D14*D25-D13*Playout!$B$20)/4</f>
        <v>-27057.589374999981</v>
      </c>
      <c r="F15" s="4">
        <f>(E14*E25-E13*Playout!$B$20)/4</f>
        <v>963.43670580093749</v>
      </c>
      <c r="G15" s="4">
        <f>(F14*F25-F13*Playout!$B$20)/4</f>
        <v>-46330.636249999981</v>
      </c>
      <c r="H15" s="4">
        <f>(G14*G25-G13*Playout!$B$20)/4</f>
        <v>-144071.08624999993</v>
      </c>
      <c r="I15" s="4">
        <f>(H14*H25-H13*Playout!$B$20)/4</f>
        <v>-220752.83250000014</v>
      </c>
      <c r="J15" s="4">
        <f>(I14*I25-I13*Playout!$B$20)/4</f>
        <v>-226820.12208999996</v>
      </c>
      <c r="K15" s="4">
        <f>(J14*J25-J13*Playout!$B$20)/4</f>
        <v>-151746.39459000004</v>
      </c>
      <c r="L15" s="4">
        <f>(K14*K25-K13*Playout!$B$20)/4</f>
        <v>-509320.19499999995</v>
      </c>
      <c r="M15" s="4">
        <f>(L14*L25-L13*Playout!$B$20)/4</f>
        <v>-329019.08750000002</v>
      </c>
      <c r="N15" s="4">
        <f>(M14*M25-M13*Playout!$B$20)/4</f>
        <v>-228987.70754580112</v>
      </c>
      <c r="O15" s="4">
        <f>(N14*N25-N13*Playout!$B$20)/4</f>
        <v>-108482.92875000002</v>
      </c>
      <c r="P15" s="4">
        <f>(O14*O25-O13*Playout!$B$20)/4</f>
        <v>-50041.555840000001</v>
      </c>
      <c r="Q15" s="4">
        <f>(P14*P25-P13*Playout!$B$20)/4</f>
        <v>-60074.684589999997</v>
      </c>
      <c r="R15" s="4">
        <f>(Q14*Q25-Q13*Playout!$B$20)/4</f>
        <v>-40876.59561878453</v>
      </c>
      <c r="S15" s="4">
        <f>(R14*R25-R13*Playout!$B$20)/4</f>
        <v>-99612.928795000014</v>
      </c>
      <c r="T15" s="4">
        <f>(S14*S25-S13*Playout!$B$20)/4</f>
        <v>-33245.126250000001</v>
      </c>
      <c r="U15" s="4">
        <f>(T14*T25-T13*Playout!$B$20)/4</f>
        <v>-37383.020205000008</v>
      </c>
      <c r="V15" s="4">
        <f>(U14*U25-U13*Playout!$B$20)/4</f>
        <v>-63025.210716160233</v>
      </c>
    </row>
    <row r="16" spans="1:22" x14ac:dyDescent="0.15">
      <c r="A16" t="str">
        <f>Playout!A10</f>
        <v>Term Cash Flow:</v>
      </c>
      <c r="B16" s="4"/>
      <c r="C16" s="4">
        <f>Playout!C10</f>
        <v>0</v>
      </c>
      <c r="D16" s="4">
        <f>Playout!D10</f>
        <v>314111.11111111118</v>
      </c>
      <c r="E16" s="4">
        <f>Playout!E10</f>
        <v>0</v>
      </c>
      <c r="F16" s="4">
        <f>Playout!F10</f>
        <v>282500.00000000012</v>
      </c>
      <c r="G16" s="4">
        <f>Playout!G10</f>
        <v>0</v>
      </c>
      <c r="H16" s="4">
        <f>Playout!H10</f>
        <v>250888.88888888905</v>
      </c>
      <c r="I16" s="4">
        <f>Playout!I10</f>
        <v>0</v>
      </c>
      <c r="J16" s="4">
        <f>Playout!J10</f>
        <v>282500.00000000012</v>
      </c>
      <c r="K16" s="4">
        <f>Playout!K10</f>
        <v>0</v>
      </c>
      <c r="L16" s="4">
        <f>Playout!L10</f>
        <v>282500.00000000012</v>
      </c>
      <c r="M16" s="4">
        <f>Playout!M10</f>
        <v>0</v>
      </c>
      <c r="N16" s="4">
        <f>Playout!N10</f>
        <v>282500.00000000012</v>
      </c>
      <c r="O16" s="4">
        <f>Playout!O10</f>
        <v>0</v>
      </c>
      <c r="P16" s="4">
        <f>Playout!P10</f>
        <v>282500.00000000012</v>
      </c>
      <c r="Q16" s="4">
        <f>Playout!Q10</f>
        <v>0</v>
      </c>
      <c r="R16" s="4">
        <f>Playout!R10</f>
        <v>282500.00000000012</v>
      </c>
      <c r="S16" s="4">
        <f>Playout!S10</f>
        <v>0</v>
      </c>
      <c r="T16" s="4">
        <f>Playout!T10</f>
        <v>282500.00000000012</v>
      </c>
      <c r="U16" s="4">
        <f>Playout!U10</f>
        <v>0</v>
      </c>
      <c r="V16" s="4">
        <f>Playout!V10</f>
        <v>282500.00000000012</v>
      </c>
    </row>
    <row r="17" spans="1:25" x14ac:dyDescent="0.15">
      <c r="A17" t="str">
        <f>Playout!A11</f>
        <v>Total Cash Flow:</v>
      </c>
      <c r="B17" s="4"/>
      <c r="C17" s="4">
        <f>C15+C16</f>
        <v>-59594.763299999991</v>
      </c>
      <c r="D17" s="4">
        <f t="shared" ref="D17:V17" si="0">D15+D16</f>
        <v>302576.40658826166</v>
      </c>
      <c r="E17" s="4">
        <f t="shared" si="0"/>
        <v>-27057.589374999981</v>
      </c>
      <c r="F17" s="4">
        <f t="shared" si="0"/>
        <v>283463.43670580105</v>
      </c>
      <c r="G17" s="4">
        <f t="shared" si="0"/>
        <v>-46330.636249999981</v>
      </c>
      <c r="H17" s="4">
        <f t="shared" si="0"/>
        <v>106817.80263888912</v>
      </c>
      <c r="I17" s="4">
        <f t="shared" si="0"/>
        <v>-220752.83250000014</v>
      </c>
      <c r="J17" s="4">
        <f t="shared" si="0"/>
        <v>55679.877910000156</v>
      </c>
      <c r="K17" s="4">
        <f t="shared" si="0"/>
        <v>-151746.39459000004</v>
      </c>
      <c r="L17" s="4">
        <f t="shared" si="0"/>
        <v>-226820.19499999983</v>
      </c>
      <c r="M17" s="4">
        <f t="shared" si="0"/>
        <v>-329019.08750000002</v>
      </c>
      <c r="N17" s="4">
        <f t="shared" si="0"/>
        <v>53512.292454198992</v>
      </c>
      <c r="O17" s="4">
        <f t="shared" si="0"/>
        <v>-108482.92875000002</v>
      </c>
      <c r="P17" s="4">
        <f t="shared" si="0"/>
        <v>232458.44416000013</v>
      </c>
      <c r="Q17" s="4">
        <f t="shared" si="0"/>
        <v>-60074.684589999997</v>
      </c>
      <c r="R17" s="4">
        <f t="shared" si="0"/>
        <v>241623.40438121557</v>
      </c>
      <c r="S17" s="4">
        <f t="shared" si="0"/>
        <v>-99612.928795000014</v>
      </c>
      <c r="T17" s="4">
        <f t="shared" si="0"/>
        <v>249254.87375000012</v>
      </c>
      <c r="U17" s="4">
        <f t="shared" si="0"/>
        <v>-37383.020205000008</v>
      </c>
      <c r="V17" s="4">
        <f t="shared" si="0"/>
        <v>219474.78928383987</v>
      </c>
      <c r="X17" s="10">
        <f>SUM(C17:V17)</f>
        <v>377986.26701720664</v>
      </c>
    </row>
    <row r="19" spans="1:25" x14ac:dyDescent="0.15">
      <c r="A19" t="s">
        <v>67</v>
      </c>
      <c r="B19" s="10">
        <f>C2*Playout!B20</f>
        <v>0</v>
      </c>
      <c r="C19" s="12">
        <f>$C$2*Playout!$B$21*C22/100</f>
        <v>0</v>
      </c>
      <c r="D19" s="12">
        <f>$C$2*Playout!$B$21*D22/100</f>
        <v>0</v>
      </c>
      <c r="E19" s="12">
        <f>$C$2*Playout!$B$21*E22/100</f>
        <v>0</v>
      </c>
      <c r="F19" s="12">
        <f>$C$2*Playout!$B$21*F22/100</f>
        <v>0</v>
      </c>
      <c r="G19" s="12">
        <f>$C$2*Playout!$B$21*G22/100</f>
        <v>0</v>
      </c>
      <c r="H19" s="12">
        <f>$C$2*Playout!$B$21*H22/100</f>
        <v>0</v>
      </c>
      <c r="I19" s="12">
        <f>$C$2*Playout!$B$21*I22/100</f>
        <v>0</v>
      </c>
      <c r="J19" s="12">
        <f>$C$2*Playout!$B$21*J22/100</f>
        <v>0</v>
      </c>
      <c r="K19" s="12">
        <f>$C$2*Playout!$B$21*K22/100</f>
        <v>0</v>
      </c>
      <c r="L19" s="12">
        <f>$C$2*Playout!$B$21*L22/100</f>
        <v>0</v>
      </c>
      <c r="M19" s="12">
        <f>$C$2*Playout!$B$21*M22/100</f>
        <v>0</v>
      </c>
      <c r="N19" s="12">
        <f>$C$2*Playout!$B$21*N22/100</f>
        <v>0</v>
      </c>
      <c r="O19" s="12">
        <f>$C$2*Playout!$B$21*O22/100</f>
        <v>0</v>
      </c>
      <c r="P19" s="12">
        <f>$C$2*Playout!$B$21*P22/100</f>
        <v>0</v>
      </c>
      <c r="Q19" s="12">
        <f>$C$2*Playout!$B$21*Q22/100</f>
        <v>0</v>
      </c>
      <c r="R19" s="12">
        <f>$C$2*Playout!$B$21*R22/100</f>
        <v>0</v>
      </c>
      <c r="S19" s="12">
        <f>$C$2*Playout!$B$21*S22/100</f>
        <v>0</v>
      </c>
      <c r="T19" s="12">
        <f>$C$2*Playout!$B$21*T22/100</f>
        <v>0</v>
      </c>
      <c r="U19" s="12">
        <f>$C$2*Playout!$B$21*U22/100</f>
        <v>0</v>
      </c>
      <c r="V19" s="12"/>
      <c r="W19" s="12"/>
      <c r="X19" s="12"/>
    </row>
    <row r="20" spans="1:25" x14ac:dyDescent="0.15">
      <c r="A20" t="s">
        <v>69</v>
      </c>
      <c r="B20" s="8">
        <f>Trade!D9</f>
        <v>100.1172</v>
      </c>
      <c r="C20" s="8">
        <f>102+6.5/32</f>
        <v>102.203125</v>
      </c>
      <c r="D20" s="8">
        <f>101+22.5/32</f>
        <v>101.703125</v>
      </c>
      <c r="E20" s="8">
        <f>102+6.5/32</f>
        <v>102.203125</v>
      </c>
      <c r="F20" s="8">
        <f>100+25.5/32</f>
        <v>100.796875</v>
      </c>
      <c r="G20" s="8">
        <f>103+13/32</f>
        <v>103.40625</v>
      </c>
      <c r="H20" s="8">
        <f>106+8/32</f>
        <v>106.25</v>
      </c>
      <c r="I20" s="8">
        <f>110+7/32</f>
        <v>110.21875</v>
      </c>
      <c r="J20" s="8">
        <f>106+10/32</f>
        <v>106.3125</v>
      </c>
      <c r="K20" s="8">
        <f>107+29/32</f>
        <v>107.90625</v>
      </c>
      <c r="L20" s="8">
        <f>110+19/32</f>
        <v>110.59375</v>
      </c>
      <c r="M20" s="8">
        <f>109+21/32</f>
        <v>109.65625</v>
      </c>
      <c r="N20" s="8">
        <f>107+27/32</f>
        <v>107.84375</v>
      </c>
      <c r="O20" s="8">
        <f>107+17/32</f>
        <v>107.53125</v>
      </c>
      <c r="P20" s="8">
        <f>106+8/32</f>
        <v>106.25</v>
      </c>
      <c r="Q20" s="8">
        <f>105+21.5/32</f>
        <v>105.671875</v>
      </c>
      <c r="R20" s="8">
        <f>104+22.5/32</f>
        <v>104.703125</v>
      </c>
      <c r="S20" s="8">
        <f>103+20/32</f>
        <v>103.625</v>
      </c>
      <c r="T20" s="8">
        <f>102+13.5/32</f>
        <v>102.421875</v>
      </c>
      <c r="U20" s="8">
        <f>101+7.5/32</f>
        <v>101.234375</v>
      </c>
      <c r="V20" s="8"/>
      <c r="W20" s="8"/>
    </row>
    <row r="21" spans="1:25" x14ac:dyDescent="0.15">
      <c r="A21" t="s">
        <v>68</v>
      </c>
      <c r="B21" s="4">
        <v>0</v>
      </c>
      <c r="C21" s="11">
        <f>(C12-B12)*50*Trade!$E$8/(Collateral!D12-Collateral!B12)</f>
        <v>1.29502688172043</v>
      </c>
      <c r="D21" s="4"/>
      <c r="E21" s="11">
        <f>(E12-D12)*50*Trade!$E$8/(Collateral!F12-Collateral!D12)</f>
        <v>1.274171270718232</v>
      </c>
      <c r="F21" s="4"/>
      <c r="G21" s="11">
        <f>(G12-F12)*50*Trade!$E$8/(Collateral!H12-Collateral!F12)</f>
        <v>1.28125</v>
      </c>
      <c r="H21" s="4"/>
      <c r="I21" s="11">
        <f>(I12-H12)*50*Trade!$E$8/(Collateral!J12-Collateral!H12)</f>
        <v>1.28125</v>
      </c>
      <c r="J21" s="4"/>
      <c r="K21" s="11">
        <f>(K12-J12)*50*Trade!$E$8/(Collateral!L12-Collateral!J12)</f>
        <v>1.28125</v>
      </c>
      <c r="L21" s="4"/>
      <c r="M21" s="11">
        <f>(M12-L12)*50*Trade!$E$8/(Collateral!N12-Collateral!L12)</f>
        <v>1.274171270718232</v>
      </c>
      <c r="N21" s="4"/>
      <c r="O21" s="11">
        <f>(O12-N12)*50*Trade!$E$8/(Collateral!P12-Collateral!N12)</f>
        <v>1.28125</v>
      </c>
      <c r="P21" s="4"/>
      <c r="Q21" s="11">
        <f>(Q12-P12)*50*Trade!$E$8/(Collateral!R12-Collateral!P12)</f>
        <v>1.274171270718232</v>
      </c>
      <c r="R21" s="4"/>
      <c r="S21" s="11">
        <f>(S12-R12)*50*Trade!$E$8/(Collateral!T12-Collateral!R12)</f>
        <v>1.28125</v>
      </c>
      <c r="T21" s="4"/>
      <c r="U21" s="11">
        <f>(U12-T12)*50*Trade!$E$8/(Collateral!V12-Collateral!T12)</f>
        <v>1.274171270718232</v>
      </c>
      <c r="V21" s="4"/>
    </row>
    <row r="22" spans="1:25" x14ac:dyDescent="0.15">
      <c r="A22" t="s">
        <v>70</v>
      </c>
      <c r="B22" s="8">
        <f>B20+B21</f>
        <v>100.1172</v>
      </c>
      <c r="C22" s="8">
        <f t="shared" ref="C22:U22" si="1">C20+C21</f>
        <v>103.49815188172043</v>
      </c>
      <c r="D22" s="8">
        <f t="shared" si="1"/>
        <v>101.703125</v>
      </c>
      <c r="E22" s="8">
        <f t="shared" si="1"/>
        <v>103.47729627071823</v>
      </c>
      <c r="F22" s="8">
        <f t="shared" si="1"/>
        <v>100.796875</v>
      </c>
      <c r="G22" s="8">
        <f t="shared" si="1"/>
        <v>104.6875</v>
      </c>
      <c r="H22" s="8">
        <f t="shared" si="1"/>
        <v>106.25</v>
      </c>
      <c r="I22" s="8">
        <f t="shared" si="1"/>
        <v>111.5</v>
      </c>
      <c r="J22" s="8">
        <f t="shared" si="1"/>
        <v>106.3125</v>
      </c>
      <c r="K22" s="8">
        <f t="shared" si="1"/>
        <v>109.1875</v>
      </c>
      <c r="L22" s="8">
        <f t="shared" si="1"/>
        <v>110.59375</v>
      </c>
      <c r="M22" s="8">
        <f t="shared" si="1"/>
        <v>110.93042127071823</v>
      </c>
      <c r="N22" s="8">
        <f t="shared" si="1"/>
        <v>107.84375</v>
      </c>
      <c r="O22" s="8">
        <f t="shared" si="1"/>
        <v>108.8125</v>
      </c>
      <c r="P22" s="8">
        <f t="shared" si="1"/>
        <v>106.25</v>
      </c>
      <c r="Q22" s="8">
        <f t="shared" si="1"/>
        <v>106.94604627071823</v>
      </c>
      <c r="R22" s="8">
        <f t="shared" si="1"/>
        <v>104.703125</v>
      </c>
      <c r="S22" s="8">
        <f t="shared" si="1"/>
        <v>104.90625</v>
      </c>
      <c r="T22" s="8">
        <f t="shared" si="1"/>
        <v>102.421875</v>
      </c>
      <c r="U22" s="8">
        <f t="shared" si="1"/>
        <v>102.50854627071823</v>
      </c>
      <c r="V22" s="8"/>
      <c r="W22" s="8"/>
      <c r="X22" s="8"/>
      <c r="Y22" s="8"/>
    </row>
    <row r="23" spans="1:25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5" x14ac:dyDescent="0.15">
      <c r="A24" t="s">
        <v>71</v>
      </c>
      <c r="C24" s="9">
        <f>B25-C25</f>
        <v>-3380951.8817204237</v>
      </c>
      <c r="D24" s="12">
        <f t="shared" ref="D24:U24" si="2">C25-D25</f>
        <v>1795026.8817204237</v>
      </c>
      <c r="E24" s="12">
        <f t="shared" si="2"/>
        <v>-1774171.2707182318</v>
      </c>
      <c r="F24" s="12">
        <f t="shared" si="2"/>
        <v>2680421.2707182318</v>
      </c>
      <c r="G24" s="12">
        <f t="shared" si="2"/>
        <v>-3890625</v>
      </c>
      <c r="H24" s="12">
        <f t="shared" si="2"/>
        <v>-1562500</v>
      </c>
      <c r="I24" s="12">
        <f t="shared" si="2"/>
        <v>-5250000</v>
      </c>
      <c r="J24" s="12">
        <f t="shared" si="2"/>
        <v>5187500</v>
      </c>
      <c r="K24" s="12">
        <f t="shared" si="2"/>
        <v>-2875000</v>
      </c>
      <c r="L24" s="12">
        <f t="shared" si="2"/>
        <v>-1406250</v>
      </c>
      <c r="M24" s="12">
        <f t="shared" si="2"/>
        <v>-336671.2707182318</v>
      </c>
      <c r="N24" s="12">
        <f t="shared" si="2"/>
        <v>3086671.2707182318</v>
      </c>
      <c r="O24" s="12">
        <f t="shared" si="2"/>
        <v>-968750</v>
      </c>
      <c r="P24" s="12">
        <f t="shared" si="2"/>
        <v>2562500</v>
      </c>
      <c r="Q24" s="12">
        <f t="shared" si="2"/>
        <v>-696046.2707182318</v>
      </c>
      <c r="R24" s="12">
        <f t="shared" si="2"/>
        <v>2242921.2707182318</v>
      </c>
      <c r="S24" s="12">
        <f t="shared" si="2"/>
        <v>-203125</v>
      </c>
      <c r="T24" s="12">
        <f t="shared" si="2"/>
        <v>2484375</v>
      </c>
      <c r="U24" s="12">
        <f t="shared" si="2"/>
        <v>-86671.270718231797</v>
      </c>
    </row>
    <row r="25" spans="1:25" x14ac:dyDescent="0.15">
      <c r="A25" t="s">
        <v>72</v>
      </c>
      <c r="B25" s="4">
        <f>Playout!$B$20+Collateral!B19</f>
        <v>100117200</v>
      </c>
      <c r="C25" s="12">
        <f>Playout!$B$21*C22*(1+$C$2)/100</f>
        <v>103498151.88172042</v>
      </c>
      <c r="D25" s="12">
        <f>Playout!$B$21*D22*(1+$C$2)/100</f>
        <v>101703125</v>
      </c>
      <c r="E25" s="12">
        <f>Playout!$B$21*E22*(1+$C$2)/100</f>
        <v>103477296.27071823</v>
      </c>
      <c r="F25" s="12">
        <f>Playout!$B$21*F22*(1+$C$2)/100</f>
        <v>100796875</v>
      </c>
      <c r="G25" s="12">
        <f>Playout!$B$21*G22*(1+$C$2)/100</f>
        <v>104687500</v>
      </c>
      <c r="H25" s="12">
        <f>Playout!$B$21*H22*(1+$C$2)/100</f>
        <v>106250000</v>
      </c>
      <c r="I25" s="12">
        <f>Playout!$B$21*I22*(1+$C$2)/100</f>
        <v>111500000</v>
      </c>
      <c r="J25" s="12">
        <f>Playout!$B$21*J22*(1+$C$2)/100</f>
        <v>106312500</v>
      </c>
      <c r="K25" s="12">
        <f>Playout!$B$21*K22*(1+$C$2)/100</f>
        <v>109187500</v>
      </c>
      <c r="L25" s="12">
        <f>Playout!$B$21*L22*(1+$C$2)/100</f>
        <v>110593750</v>
      </c>
      <c r="M25" s="12">
        <f>Playout!$B$21*M22*(1+$C$2)/100</f>
        <v>110930421.27071823</v>
      </c>
      <c r="N25" s="12">
        <f>Playout!$B$21*N22*(1+$C$2)/100</f>
        <v>107843750</v>
      </c>
      <c r="O25" s="12">
        <f>Playout!$B$21*O22*(1+$C$2)/100</f>
        <v>108812500</v>
      </c>
      <c r="P25" s="12">
        <f>Playout!$B$21*P22*(1+$C$2)/100</f>
        <v>106250000</v>
      </c>
      <c r="Q25" s="12">
        <f>Playout!$B$21*Q22*(1+$C$2)/100</f>
        <v>106946046.27071823</v>
      </c>
      <c r="R25" s="12">
        <f>Playout!$B$21*R22*(1+$C$2)/100</f>
        <v>104703125</v>
      </c>
      <c r="S25" s="12">
        <f>Playout!$B$21*S22*(1+$C$2)/100</f>
        <v>104906250</v>
      </c>
      <c r="T25" s="12">
        <f>Playout!$B$21*T22*(1+$C$2)/100</f>
        <v>102421875</v>
      </c>
      <c r="U25" s="12">
        <f>Playout!$B$21*U22*(1+$C$2)/100</f>
        <v>102508546.27071823</v>
      </c>
    </row>
    <row r="27" spans="1:25" x14ac:dyDescent="0.15">
      <c r="A27" s="14" t="s">
        <v>95</v>
      </c>
      <c r="B27" s="10">
        <f>B19</f>
        <v>0</v>
      </c>
      <c r="C27" s="10">
        <f>B27-C24</f>
        <v>3380951.8817204237</v>
      </c>
      <c r="D27" s="10">
        <f t="shared" ref="D27:U27" si="3">C27-D24</f>
        <v>1585925</v>
      </c>
      <c r="E27" s="10">
        <f t="shared" si="3"/>
        <v>3360096.2707182318</v>
      </c>
      <c r="F27" s="10">
        <f t="shared" si="3"/>
        <v>679675</v>
      </c>
      <c r="G27" s="10">
        <f t="shared" si="3"/>
        <v>4570300</v>
      </c>
      <c r="H27" s="10">
        <f t="shared" si="3"/>
        <v>6132800</v>
      </c>
      <c r="I27" s="15">
        <f t="shared" si="3"/>
        <v>11382800</v>
      </c>
      <c r="J27" s="10">
        <f t="shared" si="3"/>
        <v>6195300</v>
      </c>
      <c r="K27" s="10">
        <f t="shared" si="3"/>
        <v>9070300</v>
      </c>
      <c r="L27" s="10">
        <f t="shared" si="3"/>
        <v>10476550</v>
      </c>
      <c r="M27" s="10">
        <f t="shared" si="3"/>
        <v>10813221.270718232</v>
      </c>
      <c r="N27" s="10">
        <f t="shared" si="3"/>
        <v>7726550</v>
      </c>
      <c r="O27" s="10">
        <f t="shared" si="3"/>
        <v>8695300</v>
      </c>
      <c r="P27" s="10">
        <f t="shared" si="3"/>
        <v>6132800</v>
      </c>
      <c r="Q27" s="10">
        <f t="shared" si="3"/>
        <v>6828846.2707182318</v>
      </c>
      <c r="R27" s="10">
        <f t="shared" si="3"/>
        <v>4585925</v>
      </c>
      <c r="S27" s="10">
        <f t="shared" si="3"/>
        <v>4789050</v>
      </c>
      <c r="T27" s="10">
        <f t="shared" si="3"/>
        <v>2304675</v>
      </c>
      <c r="U27" s="10">
        <f t="shared" si="3"/>
        <v>2391346.2707182318</v>
      </c>
    </row>
    <row r="28" spans="1:25" x14ac:dyDescent="0.15">
      <c r="A28" s="13" t="s">
        <v>21</v>
      </c>
      <c r="B28">
        <v>0.08</v>
      </c>
    </row>
    <row r="29" spans="1:25" x14ac:dyDescent="0.15">
      <c r="A29" s="13" t="s">
        <v>22</v>
      </c>
    </row>
    <row r="30" spans="1:25" x14ac:dyDescent="0.15">
      <c r="A30" s="14" t="s">
        <v>94</v>
      </c>
      <c r="C30" s="10">
        <f>$B$28*B27/4</f>
        <v>0</v>
      </c>
      <c r="D30" s="10">
        <f t="shared" ref="D30:U30" si="4">$B$28*C27/4</f>
        <v>67619.03763440848</v>
      </c>
      <c r="E30" s="10">
        <f t="shared" si="4"/>
        <v>31718.5</v>
      </c>
      <c r="F30" s="10">
        <f t="shared" si="4"/>
        <v>67201.925414364639</v>
      </c>
      <c r="G30" s="10">
        <f t="shared" si="4"/>
        <v>13593.5</v>
      </c>
      <c r="H30" s="10">
        <f t="shared" si="4"/>
        <v>91406</v>
      </c>
      <c r="I30" s="10">
        <f>$B$28*H27/4</f>
        <v>122656</v>
      </c>
      <c r="J30" s="15">
        <f>$B$28*I27/4</f>
        <v>227656</v>
      </c>
      <c r="K30" s="10">
        <f t="shared" si="4"/>
        <v>123906</v>
      </c>
      <c r="L30" s="10">
        <f t="shared" si="4"/>
        <v>181406</v>
      </c>
      <c r="M30" s="10">
        <f t="shared" si="4"/>
        <v>209531</v>
      </c>
      <c r="N30" s="10">
        <f t="shared" si="4"/>
        <v>216264.42541436464</v>
      </c>
      <c r="O30" s="10">
        <f t="shared" si="4"/>
        <v>154531</v>
      </c>
      <c r="P30" s="10">
        <f t="shared" si="4"/>
        <v>173906</v>
      </c>
      <c r="Q30" s="10">
        <f t="shared" si="4"/>
        <v>122656</v>
      </c>
      <c r="R30" s="10">
        <f t="shared" si="4"/>
        <v>136576.92541436464</v>
      </c>
      <c r="S30" s="10">
        <f t="shared" si="4"/>
        <v>91718.5</v>
      </c>
      <c r="T30" s="10">
        <f t="shared" si="4"/>
        <v>95781</v>
      </c>
      <c r="U30" s="10">
        <f t="shared" si="4"/>
        <v>46093.5</v>
      </c>
    </row>
    <row r="32" spans="1:25" x14ac:dyDescent="0.15">
      <c r="A32" s="13" t="s">
        <v>23</v>
      </c>
      <c r="C32" s="10">
        <f>C17-C30</f>
        <v>-59594.763299999991</v>
      </c>
      <c r="D32" s="10">
        <f t="shared" ref="D32:V32" si="5">D17-D30</f>
        <v>234957.36895385318</v>
      </c>
      <c r="E32" s="10">
        <f t="shared" si="5"/>
        <v>-58776.089374999981</v>
      </c>
      <c r="F32" s="10">
        <f t="shared" si="5"/>
        <v>216261.51129143641</v>
      </c>
      <c r="G32" s="10">
        <f t="shared" si="5"/>
        <v>-59924.136249999981</v>
      </c>
      <c r="H32" s="10">
        <f t="shared" si="5"/>
        <v>15411.802638889116</v>
      </c>
      <c r="I32" s="10">
        <f t="shared" si="5"/>
        <v>-343408.83250000014</v>
      </c>
      <c r="J32" s="10">
        <f t="shared" si="5"/>
        <v>-171976.12208999984</v>
      </c>
      <c r="K32" s="10">
        <f t="shared" si="5"/>
        <v>-275652.39459000004</v>
      </c>
      <c r="L32" s="10">
        <f t="shared" si="5"/>
        <v>-408226.19499999983</v>
      </c>
      <c r="M32" s="10">
        <f t="shared" si="5"/>
        <v>-538550.08750000002</v>
      </c>
      <c r="N32" s="10">
        <f t="shared" si="5"/>
        <v>-162752.13296016565</v>
      </c>
      <c r="O32" s="10">
        <f t="shared" si="5"/>
        <v>-263013.92875000002</v>
      </c>
      <c r="P32" s="10">
        <f t="shared" si="5"/>
        <v>58552.44416000013</v>
      </c>
      <c r="Q32" s="10">
        <f t="shared" si="5"/>
        <v>-182730.68458999999</v>
      </c>
      <c r="R32" s="10">
        <f t="shared" si="5"/>
        <v>105046.47896685093</v>
      </c>
      <c r="S32" s="10">
        <f t="shared" si="5"/>
        <v>-191331.42879500001</v>
      </c>
      <c r="T32" s="10">
        <f t="shared" si="5"/>
        <v>153473.87375000012</v>
      </c>
      <c r="U32" s="10">
        <f t="shared" si="5"/>
        <v>-83476.520205000008</v>
      </c>
      <c r="V32" s="10">
        <f t="shared" si="5"/>
        <v>219474.78928383987</v>
      </c>
      <c r="X32" s="10">
        <f>SUM(C32:V32)</f>
        <v>-1796235.0468602958</v>
      </c>
    </row>
    <row r="36" spans="1:2" x14ac:dyDescent="0.15">
      <c r="A36" s="13" t="s">
        <v>24</v>
      </c>
    </row>
    <row r="37" spans="1:2" x14ac:dyDescent="0.15">
      <c r="B37" s="13" t="s">
        <v>25</v>
      </c>
    </row>
    <row r="39" spans="1:2" x14ac:dyDescent="0.15">
      <c r="B39" s="13" t="s">
        <v>26</v>
      </c>
    </row>
    <row r="41" spans="1:2" x14ac:dyDescent="0.15">
      <c r="B41" s="14" t="s">
        <v>96</v>
      </c>
    </row>
    <row r="42" spans="1:2" x14ac:dyDescent="0.15">
      <c r="B42" s="14" t="s">
        <v>97</v>
      </c>
    </row>
    <row r="44" spans="1:2" x14ac:dyDescent="0.15">
      <c r="B44" s="14" t="s">
        <v>98</v>
      </c>
    </row>
    <row r="46" spans="1:2" x14ac:dyDescent="0.15">
      <c r="B46" s="14" t="s">
        <v>99</v>
      </c>
    </row>
    <row r="47" spans="1:2" x14ac:dyDescent="0.15">
      <c r="B47" s="14" t="s">
        <v>100</v>
      </c>
    </row>
    <row r="48" spans="1:2" x14ac:dyDescent="0.15">
      <c r="B48" s="14" t="s">
        <v>101</v>
      </c>
    </row>
    <row r="49" spans="2:2" x14ac:dyDescent="0.15">
      <c r="B49" s="14" t="s">
        <v>102</v>
      </c>
    </row>
    <row r="50" spans="2:2" x14ac:dyDescent="0.15">
      <c r="B50" s="14" t="s">
        <v>103</v>
      </c>
    </row>
  </sheetData>
  <phoneticPr fontId="3" type="noConversion"/>
  <pageMargins left="0.75" right="0.75" top="1" bottom="1" header="0.5" footer="0.5"/>
  <ignoredErrors>
    <ignoredError sqref="D20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Trade</vt:lpstr>
      <vt:lpstr>Playout</vt:lpstr>
      <vt:lpstr>Liquidation</vt:lpstr>
      <vt:lpstr>Swap Value</vt:lpstr>
      <vt:lpstr>Collateral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Microsoft Office User</cp:lastModifiedBy>
  <dcterms:created xsi:type="dcterms:W3CDTF">2019-06-16T17:44:45Z</dcterms:created>
  <dcterms:modified xsi:type="dcterms:W3CDTF">2021-09-30T23:55:34Z</dcterms:modified>
</cp:coreProperties>
</file>