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42/2020/Class8/"/>
    </mc:Choice>
  </mc:AlternateContent>
  <xr:revisionPtr revIDLastSave="0" documentId="13_ncr:1_{A929D56A-C7A0-6443-ACDE-616B78A668E1}" xr6:coauthVersionLast="45" xr6:coauthVersionMax="45" xr10:uidLastSave="{00000000-0000-0000-0000-000000000000}"/>
  <bookViews>
    <workbookView xWindow="2780" yWindow="1560" windowWidth="28040" windowHeight="17440" xr2:uid="{0BF8876F-F2FD-EF49-89C9-8CF7E0C916E3}"/>
  </bookViews>
  <sheets>
    <sheet name="Sheet1" sheetId="1" r:id="rId1"/>
    <sheet name="Sheet2" sheetId="2" r:id="rId2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45" i="1" l="1"/>
  <c r="E146" i="1"/>
  <c r="E147" i="1"/>
  <c r="E145" i="1"/>
  <c r="J142" i="1"/>
  <c r="G141" i="1"/>
  <c r="G137" i="1"/>
  <c r="H143" i="1"/>
  <c r="G139" i="1"/>
  <c r="G138" i="1"/>
  <c r="F130" i="1"/>
  <c r="F129" i="1"/>
  <c r="F128" i="1"/>
  <c r="F127" i="1"/>
  <c r="C126" i="1"/>
  <c r="G105" i="1"/>
  <c r="H50" i="1"/>
  <c r="G104" i="1"/>
  <c r="G103" i="1"/>
  <c r="F103" i="1"/>
  <c r="E103" i="1"/>
  <c r="G102" i="1"/>
  <c r="F102" i="1"/>
  <c r="E102" i="1"/>
  <c r="G101" i="1"/>
  <c r="F101" i="1"/>
  <c r="E101" i="1"/>
  <c r="A93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B92" i="1"/>
  <c r="C71" i="1"/>
  <c r="C72" i="1"/>
  <c r="C73" i="1"/>
  <c r="D71" i="1"/>
  <c r="D72" i="1"/>
  <c r="D73" i="1"/>
  <c r="E71" i="1"/>
  <c r="E72" i="1"/>
  <c r="E73" i="1"/>
  <c r="F71" i="1"/>
  <c r="F72" i="1"/>
  <c r="F73" i="1"/>
  <c r="G71" i="1"/>
  <c r="G72" i="1"/>
  <c r="G73" i="1"/>
  <c r="H71" i="1"/>
  <c r="H72" i="1"/>
  <c r="H73" i="1"/>
  <c r="I71" i="1"/>
  <c r="I72" i="1"/>
  <c r="I73" i="1"/>
  <c r="J71" i="1"/>
  <c r="J72" i="1"/>
  <c r="J73" i="1"/>
  <c r="K71" i="1"/>
  <c r="K72" i="1"/>
  <c r="K73" i="1"/>
  <c r="L71" i="1"/>
  <c r="L72" i="1"/>
  <c r="L73" i="1"/>
  <c r="M71" i="1"/>
  <c r="M72" i="1"/>
  <c r="M73" i="1"/>
  <c r="N71" i="1"/>
  <c r="N72" i="1"/>
  <c r="N73" i="1"/>
  <c r="O71" i="1"/>
  <c r="O72" i="1"/>
  <c r="O73" i="1"/>
  <c r="P71" i="1"/>
  <c r="P72" i="1"/>
  <c r="P73" i="1"/>
  <c r="Q71" i="1"/>
  <c r="Q72" i="1"/>
  <c r="Q73" i="1"/>
  <c r="R71" i="1"/>
  <c r="R72" i="1"/>
  <c r="R73" i="1"/>
  <c r="S71" i="1"/>
  <c r="S72" i="1"/>
  <c r="S73" i="1"/>
  <c r="T71" i="1"/>
  <c r="T72" i="1"/>
  <c r="T73" i="1"/>
  <c r="U72" i="1"/>
  <c r="U73" i="1"/>
  <c r="A74" i="1"/>
  <c r="B75" i="1"/>
  <c r="B76" i="1"/>
  <c r="C75" i="1"/>
  <c r="C76" i="1"/>
  <c r="D75" i="1"/>
  <c r="D76" i="1"/>
  <c r="E75" i="1"/>
  <c r="E76" i="1"/>
  <c r="F75" i="1"/>
  <c r="F76" i="1"/>
  <c r="G75" i="1"/>
  <c r="G76" i="1"/>
  <c r="H75" i="1"/>
  <c r="H76" i="1"/>
  <c r="I75" i="1"/>
  <c r="I76" i="1"/>
  <c r="J75" i="1"/>
  <c r="J76" i="1"/>
  <c r="K75" i="1"/>
  <c r="K76" i="1"/>
  <c r="L75" i="1"/>
  <c r="L76" i="1"/>
  <c r="M75" i="1"/>
  <c r="M76" i="1"/>
  <c r="N75" i="1"/>
  <c r="N76" i="1"/>
  <c r="O75" i="1"/>
  <c r="O76" i="1"/>
  <c r="P75" i="1"/>
  <c r="P76" i="1"/>
  <c r="Q75" i="1"/>
  <c r="Q76" i="1"/>
  <c r="R75" i="1"/>
  <c r="R76" i="1"/>
  <c r="S75" i="1"/>
  <c r="S76" i="1"/>
  <c r="T75" i="1"/>
  <c r="T76" i="1"/>
  <c r="U75" i="1"/>
  <c r="U76" i="1"/>
  <c r="A77" i="1"/>
  <c r="V75" i="1"/>
  <c r="U89" i="1"/>
  <c r="U90" i="1"/>
  <c r="A91" i="1"/>
  <c r="D96" i="1"/>
  <c r="D98" i="1"/>
  <c r="G98" i="1"/>
  <c r="G68" i="1"/>
  <c r="J68" i="1"/>
  <c r="D82" i="1"/>
  <c r="B72" i="1"/>
  <c r="B71" i="1"/>
  <c r="B73" i="1"/>
  <c r="U71" i="1"/>
  <c r="D13" i="1"/>
  <c r="D14" i="1"/>
  <c r="D15" i="1"/>
  <c r="E13" i="1"/>
  <c r="E14" i="1"/>
  <c r="E15" i="1"/>
  <c r="F13" i="1"/>
  <c r="F14" i="1"/>
  <c r="F15" i="1"/>
  <c r="G13" i="1"/>
  <c r="G14" i="1"/>
  <c r="G15" i="1"/>
  <c r="H13" i="1"/>
  <c r="H14" i="1"/>
  <c r="H15" i="1"/>
  <c r="I13" i="1"/>
  <c r="I14" i="1"/>
  <c r="I15" i="1"/>
  <c r="J13" i="1"/>
  <c r="J14" i="1"/>
  <c r="J15" i="1"/>
  <c r="K13" i="1"/>
  <c r="K14" i="1"/>
  <c r="K15" i="1"/>
  <c r="L13" i="1"/>
  <c r="L14" i="1"/>
  <c r="L15" i="1"/>
  <c r="M13" i="1"/>
  <c r="M14" i="1"/>
  <c r="M15" i="1"/>
  <c r="N13" i="1"/>
  <c r="N14" i="1"/>
  <c r="N15" i="1"/>
  <c r="O13" i="1"/>
  <c r="O14" i="1"/>
  <c r="O15" i="1"/>
  <c r="P13" i="1"/>
  <c r="P14" i="1"/>
  <c r="P15" i="1"/>
  <c r="Q13" i="1"/>
  <c r="Q14" i="1"/>
  <c r="Q15" i="1"/>
  <c r="R13" i="1"/>
  <c r="R14" i="1"/>
  <c r="R15" i="1"/>
  <c r="S13" i="1"/>
  <c r="S14" i="1"/>
  <c r="S15" i="1"/>
  <c r="T13" i="1"/>
  <c r="T14" i="1"/>
  <c r="T15" i="1"/>
  <c r="U13" i="1"/>
  <c r="U14" i="1"/>
  <c r="U15" i="1"/>
  <c r="V13" i="1"/>
  <c r="V14" i="1"/>
  <c r="V15" i="1"/>
  <c r="W13" i="1"/>
  <c r="W14" i="1"/>
  <c r="W15" i="1"/>
  <c r="C16" i="1"/>
  <c r="W33" i="1"/>
  <c r="W34" i="1"/>
  <c r="C35" i="1"/>
  <c r="D43" i="1"/>
  <c r="G49" i="1"/>
  <c r="D17" i="1"/>
  <c r="D18" i="1"/>
  <c r="E17" i="1"/>
  <c r="E18" i="1"/>
  <c r="F17" i="1"/>
  <c r="F18" i="1"/>
  <c r="G17" i="1"/>
  <c r="G18" i="1"/>
  <c r="H17" i="1"/>
  <c r="H18" i="1"/>
  <c r="I17" i="1"/>
  <c r="I18" i="1"/>
  <c r="J17" i="1"/>
  <c r="J18" i="1"/>
  <c r="K17" i="1"/>
  <c r="K18" i="1"/>
  <c r="L17" i="1"/>
  <c r="L18" i="1"/>
  <c r="M17" i="1"/>
  <c r="M18" i="1"/>
  <c r="N17" i="1"/>
  <c r="N18" i="1"/>
  <c r="O17" i="1"/>
  <c r="O18" i="1"/>
  <c r="P17" i="1"/>
  <c r="P18" i="1"/>
  <c r="Q17" i="1"/>
  <c r="Q18" i="1"/>
  <c r="R17" i="1"/>
  <c r="R18" i="1"/>
  <c r="S17" i="1"/>
  <c r="S18" i="1"/>
  <c r="T17" i="1"/>
  <c r="T18" i="1"/>
  <c r="U17" i="1"/>
  <c r="U18" i="1"/>
  <c r="V17" i="1"/>
  <c r="V18" i="1"/>
  <c r="W17" i="1"/>
  <c r="W18" i="1"/>
  <c r="C19" i="1"/>
  <c r="H49" i="1"/>
  <c r="I49" i="1"/>
  <c r="G50" i="1"/>
  <c r="I50" i="1"/>
  <c r="G51" i="1"/>
  <c r="W37" i="1"/>
  <c r="E38" i="1"/>
  <c r="H51" i="1"/>
  <c r="I51" i="1"/>
  <c r="I52" i="1"/>
  <c r="G53" i="1"/>
  <c r="G52" i="1"/>
  <c r="D39" i="1"/>
  <c r="D20" i="1"/>
  <c r="E27" i="1"/>
  <c r="D5" i="2"/>
  <c r="G7" i="1"/>
  <c r="J7" i="1"/>
  <c r="C5" i="2"/>
  <c r="C7" i="2"/>
  <c r="C6" i="2"/>
  <c r="M7" i="1"/>
  <c r="Y17" i="1"/>
  <c r="I45" i="1"/>
  <c r="D45" i="1"/>
</calcChain>
</file>

<file path=xl/sharedStrings.xml><?xml version="1.0" encoding="utf-8"?>
<sst xmlns="http://schemas.openxmlformats.org/spreadsheetml/2006/main" count="155" uniqueCount="111">
  <si>
    <t>Inverse floater:</t>
  </si>
  <si>
    <t>Receive a fixed rate:</t>
  </si>
  <si>
    <t>10-year inverse floater.</t>
  </si>
  <si>
    <t xml:space="preserve"> standard fixed terms</t>
  </si>
  <si>
    <t>(30/360)</t>
  </si>
  <si>
    <t>semi-annual coupon</t>
  </si>
  <si>
    <t xml:space="preserve">Pay floating </t>
  </si>
  <si>
    <t>90-day Libor</t>
  </si>
  <si>
    <t>standard floating terms: qtrly tenor and reset (30 / 360)</t>
  </si>
  <si>
    <t>Principal</t>
  </si>
  <si>
    <t>0 Floor</t>
  </si>
  <si>
    <t>Set in advance,  Paid in arrears</t>
  </si>
  <si>
    <t>Flat yield curve:</t>
  </si>
  <si>
    <t>Valuing this inverse floater:</t>
  </si>
  <si>
    <t>1. Long position in 100,000,000 10% 10-year note.</t>
  </si>
  <si>
    <t>Time (Yrs):</t>
  </si>
  <si>
    <t>CF:</t>
  </si>
  <si>
    <t>PV:</t>
  </si>
  <si>
    <t xml:space="preserve"> cc basis</t>
  </si>
  <si>
    <t>df:</t>
  </si>
  <si>
    <t>2. Short position in standard floater.</t>
  </si>
  <si>
    <t>3. Long position in a 10-year 0-coupon bond (to keep our principal)</t>
  </si>
  <si>
    <t xml:space="preserve"> (price for 100 par of the inverse floater)</t>
  </si>
  <si>
    <t xml:space="preserve">If the county were to buy </t>
  </si>
  <si>
    <t xml:space="preserve"> par value of this inverse floater, it would pay:</t>
  </si>
  <si>
    <t>Risk of the inverse floater:</t>
  </si>
  <si>
    <t>first-order metric:</t>
  </si>
  <si>
    <t>duration.</t>
  </si>
  <si>
    <t>wt:</t>
  </si>
  <si>
    <t>wt* D</t>
  </si>
  <si>
    <t>Floater's Risk:</t>
  </si>
  <si>
    <t>Rate:</t>
  </si>
  <si>
    <t>L(t-1)/4 * P +P</t>
  </si>
  <si>
    <t>EAY:</t>
  </si>
  <si>
    <t>equivalent qtrly comp rate:</t>
  </si>
  <si>
    <t>D</t>
  </si>
  <si>
    <t xml:space="preserve">  Double Check:</t>
  </si>
  <si>
    <t>Duration of the floater:</t>
  </si>
  <si>
    <t>DV01:</t>
  </si>
  <si>
    <t>wt*D:</t>
  </si>
  <si>
    <t>Duration of 0-coupon note:</t>
  </si>
  <si>
    <t>Fixed Rate Note:</t>
  </si>
  <si>
    <t>wt</t>
  </si>
  <si>
    <t>Floater:</t>
  </si>
  <si>
    <t>wt *D</t>
  </si>
  <si>
    <t>0-coupon note:</t>
  </si>
  <si>
    <t>DV01 of inverse floater:</t>
  </si>
  <si>
    <t xml:space="preserve">  To first-order approximation, this inverse floating rate note has the same risk as a 14 year 0-coupon bond.</t>
  </si>
  <si>
    <t>What is the origin of such a security?</t>
  </si>
  <si>
    <t>Strucutured finance:</t>
  </si>
  <si>
    <t>Merrill Lynch has a pool of notes</t>
  </si>
  <si>
    <t xml:space="preserve"> put into tranches including floating rate and inverse floating rates.</t>
  </si>
  <si>
    <t>(4. Technical point: Also a long position in an interest rate cap at 10%.)</t>
  </si>
  <si>
    <t>(Financial Engineering)</t>
  </si>
  <si>
    <t>Next example:</t>
  </si>
  <si>
    <t>Levered Inverse floater.</t>
  </si>
  <si>
    <t>Levered Inverse floater:</t>
  </si>
  <si>
    <t>(Floor set at 30%)</t>
  </si>
  <si>
    <t>3 X 180-day Libor</t>
  </si>
  <si>
    <t>floating terms: semi-annual tenor and reset (30 / 360)</t>
  </si>
  <si>
    <t>Market Value:</t>
  </si>
  <si>
    <t>0-Coupon Bond:</t>
  </si>
  <si>
    <t>equivalent semi-annual rate:</t>
  </si>
  <si>
    <t>3 zero coupon bonds.</t>
  </si>
  <si>
    <t>Time:</t>
  </si>
  <si>
    <t xml:space="preserve"> cost:</t>
  </si>
  <si>
    <t>Value of the levered inverse floater:</t>
  </si>
  <si>
    <t>Risk of this levered inverse floater.</t>
  </si>
  <si>
    <t>wt * D:</t>
  </si>
  <si>
    <t>Duration:</t>
  </si>
  <si>
    <t>Coupon Bond:</t>
  </si>
  <si>
    <t>wt*D</t>
  </si>
  <si>
    <t>Floater</t>
  </si>
  <si>
    <t>Three alternative ways to do the same/similar thing go long by borrowing short:</t>
  </si>
  <si>
    <t>1. Buy a Note using repo finance.</t>
  </si>
  <si>
    <t>2. Enter a receive fixed, pay floating swap.</t>
  </si>
  <si>
    <t>3. Buy an inverse floater.</t>
  </si>
  <si>
    <t>[ 4. Be a bank (traditionally S&amp;Ls) ]</t>
  </si>
  <si>
    <t>Forensic analysis of Orange County.</t>
  </si>
  <si>
    <t xml:space="preserve"> in equity</t>
  </si>
  <si>
    <t>borrowing repo</t>
  </si>
  <si>
    <t>inverse floaters</t>
  </si>
  <si>
    <t>``Interest rates"</t>
  </si>
  <si>
    <t>total portfolio</t>
  </si>
  <si>
    <t>equity</t>
  </si>
  <si>
    <t>Loss:</t>
  </si>
  <si>
    <t>approx dP/P</t>
  </si>
  <si>
    <t>delta y</t>
  </si>
  <si>
    <t>forensic duration:</t>
  </si>
  <si>
    <t>-(dP/dY) / P</t>
  </si>
  <si>
    <t>Verify</t>
  </si>
  <si>
    <t xml:space="preserve"> Key number in any lawsuit.  Is this reasonable?</t>
  </si>
  <si>
    <t>1. Operating fund portfolios should always have durations less than 0.5</t>
  </si>
  <si>
    <t>(Restrictions that no indivdual asset have duration &gt; 1)</t>
  </si>
  <si>
    <t>2. Even balanced fixed income portfolios' durations average ~</t>
  </si>
  <si>
    <t>6 - 6.5</t>
  </si>
  <si>
    <t>What if all of the funds were invested in 90-day T-Bills and all borrowings were overnight repo?</t>
  </si>
  <si>
    <t>Duration of overnight repo:</t>
  </si>
  <si>
    <t>?</t>
  </si>
  <si>
    <t>check sum of weights:</t>
  </si>
  <si>
    <t xml:space="preserve"> =</t>
  </si>
  <si>
    <t>.375*</t>
  </si>
  <si>
    <t>D(if)</t>
  </si>
  <si>
    <t>D(if) +</t>
  </si>
  <si>
    <t xml:space="preserve"> = </t>
  </si>
  <si>
    <t>Duration of 1-year Bill:</t>
  </si>
  <si>
    <t>Duration of Inverse Floaters</t>
  </si>
  <si>
    <t>With no inverse floaters duration would be:</t>
  </si>
  <si>
    <t>Isolate the duration of the inverse floater position</t>
  </si>
  <si>
    <t xml:space="preserve">   assuming that the remainder of the portfolio was</t>
  </si>
  <si>
    <t xml:space="preserve">   in 1-year Treasury Bills: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</si>
</sst>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(* #,##0_);_(* \(#,##0\);_(* &quot;-&quot;??_);_(@_)"/>
    <numFmt numFmtId="166" formatCode="#,##0.0000000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9" fontId="0" fillId="0" borderId="0" xfId="0" applyNumberFormat="1"/>
    <xf numFmtId="165" fontId="0" fillId="0" borderId="0" xfId="1" applyNumberFormat="1" applyFont="1"/>
    <xf numFmtId="0" fontId="2" fillId="0" borderId="0" xfId="0" applyFont="1"/>
    <xf numFmtId="0" fontId="0" fillId="0" borderId="0" xfId="0" applyAlignment="1">
      <alignment horizontal="left"/>
    </xf>
    <xf numFmtId="165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166" fontId="0" fillId="0" borderId="0" xfId="0" applyNumberFormat="1"/>
    <xf numFmtId="0" fontId="0" fillId="0" borderId="0" xfId="0" quotePrefix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EE9BE-58EB-5047-AD2F-EFCF7E669837}">
  <dimension ref="A1:Y147"/>
  <sheetViews>
    <sheetView tabSelected="1" topLeftCell="A132" zoomScale="160" zoomScaleNormal="160" workbookViewId="0">
      <selection activeCell="B148" sqref="B148"/>
    </sheetView>
  </sheetViews>
  <sheetFormatPr baseColWidth="10" defaultRowHeight="16" x14ac:dyDescent="0.2"/>
  <cols>
    <col min="2" max="2" width="18" bestFit="1" customWidth="1"/>
    <col min="3" max="3" width="15.33203125" bestFit="1" customWidth="1"/>
    <col min="4" max="4" width="15" customWidth="1"/>
    <col min="5" max="5" width="17" bestFit="1" customWidth="1"/>
    <col min="6" max="6" width="13.5" customWidth="1"/>
    <col min="7" max="7" width="15.33203125" bestFit="1" customWidth="1"/>
    <col min="9" max="9" width="15.33203125" bestFit="1" customWidth="1"/>
  </cols>
  <sheetData>
    <row r="1" spans="1:23" x14ac:dyDescent="0.2">
      <c r="A1" t="s">
        <v>0</v>
      </c>
    </row>
    <row r="2" spans="1:23" x14ac:dyDescent="0.2">
      <c r="B2" t="s">
        <v>1</v>
      </c>
      <c r="D2" s="1">
        <v>0.1</v>
      </c>
      <c r="E2" t="s">
        <v>3</v>
      </c>
      <c r="G2" t="s">
        <v>4</v>
      </c>
      <c r="H2" t="s">
        <v>5</v>
      </c>
    </row>
    <row r="3" spans="1:23" x14ac:dyDescent="0.2">
      <c r="B3" t="s">
        <v>2</v>
      </c>
    </row>
    <row r="4" spans="1:23" x14ac:dyDescent="0.2">
      <c r="B4" t="s">
        <v>6</v>
      </c>
      <c r="D4" t="s">
        <v>7</v>
      </c>
      <c r="E4" t="s">
        <v>8</v>
      </c>
      <c r="J4" t="s">
        <v>10</v>
      </c>
      <c r="K4" t="s">
        <v>11</v>
      </c>
    </row>
    <row r="5" spans="1:23" x14ac:dyDescent="0.2">
      <c r="B5" t="s">
        <v>9</v>
      </c>
      <c r="C5" s="2">
        <v>100000000</v>
      </c>
    </row>
    <row r="7" spans="1:23" x14ac:dyDescent="0.2">
      <c r="B7" t="s">
        <v>12</v>
      </c>
      <c r="D7">
        <v>0.03</v>
      </c>
      <c r="E7" t="s">
        <v>18</v>
      </c>
      <c r="F7" t="s">
        <v>33</v>
      </c>
      <c r="G7">
        <f>EXP(D7)-1</f>
        <v>3.0454533953516938E-2</v>
      </c>
      <c r="H7" t="s">
        <v>34</v>
      </c>
      <c r="J7">
        <f>4*((1+G7)^(1/4)-1)</f>
        <v>3.0112781778135478E-2</v>
      </c>
      <c r="K7" t="s">
        <v>36</v>
      </c>
      <c r="M7">
        <f>(1+J7/4)^4-1</f>
        <v>3.0454533953516716E-2</v>
      </c>
    </row>
    <row r="10" spans="1:23" x14ac:dyDescent="0.2">
      <c r="A10" t="s">
        <v>13</v>
      </c>
    </row>
    <row r="11" spans="1:23" x14ac:dyDescent="0.2">
      <c r="B11" t="s">
        <v>14</v>
      </c>
    </row>
    <row r="12" spans="1:23" x14ac:dyDescent="0.2">
      <c r="C12" t="s">
        <v>15</v>
      </c>
      <c r="D12">
        <v>0.5</v>
      </c>
      <c r="E12">
        <v>1</v>
      </c>
      <c r="F12">
        <v>1.5</v>
      </c>
      <c r="G12">
        <v>2</v>
      </c>
      <c r="H12">
        <v>2.5</v>
      </c>
      <c r="I12">
        <v>3</v>
      </c>
      <c r="J12">
        <v>3.5</v>
      </c>
      <c r="K12">
        <v>4</v>
      </c>
      <c r="L12">
        <v>4.5</v>
      </c>
      <c r="M12">
        <v>5</v>
      </c>
      <c r="N12">
        <v>5.5</v>
      </c>
      <c r="O12">
        <v>6</v>
      </c>
      <c r="P12">
        <v>6.5</v>
      </c>
      <c r="Q12">
        <v>7</v>
      </c>
      <c r="R12">
        <v>7.5</v>
      </c>
      <c r="S12">
        <v>8</v>
      </c>
      <c r="T12">
        <v>8.5</v>
      </c>
      <c r="U12">
        <v>9</v>
      </c>
      <c r="V12">
        <v>9.5</v>
      </c>
      <c r="W12">
        <v>10</v>
      </c>
    </row>
    <row r="13" spans="1:23" x14ac:dyDescent="0.2">
      <c r="C13" t="s">
        <v>16</v>
      </c>
      <c r="D13">
        <f>50*$D$2</f>
        <v>5</v>
      </c>
      <c r="E13">
        <f t="shared" ref="E13:V13" si="0">50*$D$2</f>
        <v>5</v>
      </c>
      <c r="F13">
        <f t="shared" si="0"/>
        <v>5</v>
      </c>
      <c r="G13">
        <f t="shared" si="0"/>
        <v>5</v>
      </c>
      <c r="H13">
        <f t="shared" si="0"/>
        <v>5</v>
      </c>
      <c r="I13">
        <f t="shared" si="0"/>
        <v>5</v>
      </c>
      <c r="J13">
        <f t="shared" si="0"/>
        <v>5</v>
      </c>
      <c r="K13">
        <f t="shared" si="0"/>
        <v>5</v>
      </c>
      <c r="L13">
        <f t="shared" si="0"/>
        <v>5</v>
      </c>
      <c r="M13">
        <f t="shared" si="0"/>
        <v>5</v>
      </c>
      <c r="N13">
        <f t="shared" si="0"/>
        <v>5</v>
      </c>
      <c r="O13">
        <f t="shared" si="0"/>
        <v>5</v>
      </c>
      <c r="P13">
        <f t="shared" si="0"/>
        <v>5</v>
      </c>
      <c r="Q13">
        <f t="shared" si="0"/>
        <v>5</v>
      </c>
      <c r="R13">
        <f t="shared" si="0"/>
        <v>5</v>
      </c>
      <c r="S13">
        <f t="shared" si="0"/>
        <v>5</v>
      </c>
      <c r="T13">
        <f t="shared" si="0"/>
        <v>5</v>
      </c>
      <c r="U13">
        <f t="shared" si="0"/>
        <v>5</v>
      </c>
      <c r="V13">
        <f t="shared" si="0"/>
        <v>5</v>
      </c>
      <c r="W13">
        <f>100*(1+0.5*$D$2)</f>
        <v>105</v>
      </c>
    </row>
    <row r="14" spans="1:23" x14ac:dyDescent="0.2">
      <c r="C14" t="s">
        <v>19</v>
      </c>
      <c r="D14">
        <f>EXP(-$D$7*D12)</f>
        <v>0.98511193960306265</v>
      </c>
      <c r="E14">
        <f t="shared" ref="E14:W14" si="1">EXP(-$D$7*E12)</f>
        <v>0.97044553354850815</v>
      </c>
      <c r="F14">
        <f t="shared" si="1"/>
        <v>0.95599748183309996</v>
      </c>
      <c r="G14">
        <f t="shared" si="1"/>
        <v>0.94176453358424872</v>
      </c>
      <c r="H14">
        <f t="shared" si="1"/>
        <v>0.92774348632855286</v>
      </c>
      <c r="I14">
        <f t="shared" si="1"/>
        <v>0.91393118527122819</v>
      </c>
      <c r="J14">
        <f t="shared" si="1"/>
        <v>0.90032452258626561</v>
      </c>
      <c r="K14">
        <f t="shared" si="1"/>
        <v>0.88692043671715748</v>
      </c>
      <c r="L14">
        <f t="shared" si="1"/>
        <v>0.87371591168803442</v>
      </c>
      <c r="M14">
        <f t="shared" si="1"/>
        <v>0.86070797642505781</v>
      </c>
      <c r="N14">
        <f t="shared" si="1"/>
        <v>0.84789370408791587</v>
      </c>
      <c r="O14">
        <f t="shared" si="1"/>
        <v>0.835270211411272</v>
      </c>
      <c r="P14">
        <f t="shared" si="1"/>
        <v>0.82283465805601841</v>
      </c>
      <c r="Q14">
        <f t="shared" si="1"/>
        <v>0.81058424597018708</v>
      </c>
      <c r="R14">
        <f t="shared" si="1"/>
        <v>0.79851621875937706</v>
      </c>
      <c r="S14">
        <f t="shared" si="1"/>
        <v>0.78662786106655347</v>
      </c>
      <c r="T14">
        <f t="shared" si="1"/>
        <v>0.77491649796108097</v>
      </c>
      <c r="U14">
        <f t="shared" si="1"/>
        <v>0.76337949433685315</v>
      </c>
      <c r="V14">
        <f t="shared" si="1"/>
        <v>0.75201425431938262</v>
      </c>
      <c r="W14">
        <f t="shared" si="1"/>
        <v>0.74081822068171788</v>
      </c>
    </row>
    <row r="15" spans="1:23" x14ac:dyDescent="0.2">
      <c r="C15" t="s">
        <v>17</v>
      </c>
      <c r="D15">
        <f>D13*D14</f>
        <v>4.9255596980153129</v>
      </c>
      <c r="E15">
        <f t="shared" ref="E15:W15" si="2">E13*E14</f>
        <v>4.8522276677425404</v>
      </c>
      <c r="F15">
        <f t="shared" si="2"/>
        <v>4.7799874091654999</v>
      </c>
      <c r="G15">
        <f t="shared" si="2"/>
        <v>4.7088226679212433</v>
      </c>
      <c r="H15">
        <f t="shared" si="2"/>
        <v>4.638717431642764</v>
      </c>
      <c r="I15">
        <f t="shared" si="2"/>
        <v>4.5696559263561412</v>
      </c>
      <c r="J15">
        <f t="shared" si="2"/>
        <v>4.5016226129313281</v>
      </c>
      <c r="K15">
        <f t="shared" si="2"/>
        <v>4.4346021835857874</v>
      </c>
      <c r="L15">
        <f t="shared" si="2"/>
        <v>4.3685795584401719</v>
      </c>
      <c r="M15">
        <f t="shared" si="2"/>
        <v>4.303539882125289</v>
      </c>
      <c r="N15">
        <f t="shared" si="2"/>
        <v>4.239468520439579</v>
      </c>
      <c r="O15">
        <f t="shared" si="2"/>
        <v>4.17635105705636</v>
      </c>
      <c r="P15">
        <f t="shared" si="2"/>
        <v>4.1141732902800925</v>
      </c>
      <c r="Q15">
        <f t="shared" si="2"/>
        <v>4.0529212298509352</v>
      </c>
      <c r="R15">
        <f t="shared" si="2"/>
        <v>3.9925810937968853</v>
      </c>
      <c r="S15">
        <f t="shared" si="2"/>
        <v>3.9331393053327672</v>
      </c>
      <c r="T15">
        <f t="shared" si="2"/>
        <v>3.8745824898054049</v>
      </c>
      <c r="U15">
        <f t="shared" si="2"/>
        <v>3.8168974716842659</v>
      </c>
      <c r="V15">
        <f t="shared" si="2"/>
        <v>3.7600712715969129</v>
      </c>
      <c r="W15">
        <f t="shared" si="2"/>
        <v>77.785913171580376</v>
      </c>
    </row>
    <row r="16" spans="1:23" x14ac:dyDescent="0.2">
      <c r="C16" s="3">
        <f>SUM(D15:W15)</f>
        <v>159.82941393934968</v>
      </c>
    </row>
    <row r="17" spans="2:25" x14ac:dyDescent="0.2">
      <c r="C17" t="s">
        <v>28</v>
      </c>
      <c r="D17">
        <f>D15/$C$16</f>
        <v>3.0817604698747194E-2</v>
      </c>
      <c r="E17">
        <f t="shared" ref="E17:W17" si="3">E15/$C$16</f>
        <v>3.0358790338703305E-2</v>
      </c>
      <c r="F17">
        <f t="shared" si="3"/>
        <v>2.9906806834562739E-2</v>
      </c>
      <c r="G17">
        <f t="shared" si="3"/>
        <v>2.9461552488130226E-2</v>
      </c>
      <c r="H17">
        <f t="shared" si="3"/>
        <v>2.9022927115299402E-2</v>
      </c>
      <c r="I17">
        <f t="shared" si="3"/>
        <v>2.8590832023510919E-2</v>
      </c>
      <c r="J17">
        <f t="shared" si="3"/>
        <v>2.8165169989546195E-2</v>
      </c>
      <c r="K17">
        <f t="shared" si="3"/>
        <v>2.7745845237651823E-2</v>
      </c>
      <c r="L17">
        <f t="shared" si="3"/>
        <v>2.7332763417989587E-2</v>
      </c>
      <c r="M17">
        <f t="shared" si="3"/>
        <v>2.6925831585407362E-2</v>
      </c>
      <c r="N17">
        <f t="shared" si="3"/>
        <v>2.6524958178526053E-2</v>
      </c>
      <c r="O17">
        <f t="shared" si="3"/>
        <v>2.6130052999137919E-2</v>
      </c>
      <c r="P17">
        <f t="shared" si="3"/>
        <v>2.5741027191911584E-2</v>
      </c>
      <c r="Q17">
        <f t="shared" si="3"/>
        <v>2.5357793224399194E-2</v>
      </c>
      <c r="R17">
        <f t="shared" si="3"/>
        <v>2.4980264867341291E-2</v>
      </c>
      <c r="S17">
        <f t="shared" si="3"/>
        <v>2.4608357175264824E-2</v>
      </c>
      <c r="T17">
        <f t="shared" si="3"/>
        <v>2.4241986467370073E-2</v>
      </c>
      <c r="U17">
        <f t="shared" si="3"/>
        <v>2.3881070308702131E-2</v>
      </c>
      <c r="V17">
        <f t="shared" si="3"/>
        <v>2.3525527491602666E-2</v>
      </c>
      <c r="W17">
        <f t="shared" si="3"/>
        <v>0.48668083836619536</v>
      </c>
      <c r="Y17">
        <f>SUM(D17:W17)</f>
        <v>0.99999999999999978</v>
      </c>
    </row>
    <row r="18" spans="2:25" x14ac:dyDescent="0.2">
      <c r="C18" t="s">
        <v>29</v>
      </c>
      <c r="D18">
        <f>D12*D17</f>
        <v>1.5408802349373597E-2</v>
      </c>
      <c r="E18">
        <f t="shared" ref="E18:W18" si="4">E12*E17</f>
        <v>3.0358790338703305E-2</v>
      </c>
      <c r="F18">
        <f t="shared" si="4"/>
        <v>4.4860210251844113E-2</v>
      </c>
      <c r="G18">
        <f t="shared" si="4"/>
        <v>5.8923104976260451E-2</v>
      </c>
      <c r="H18">
        <f t="shared" si="4"/>
        <v>7.2557317788248504E-2</v>
      </c>
      <c r="I18">
        <f t="shared" si="4"/>
        <v>8.577249607053275E-2</v>
      </c>
      <c r="J18">
        <f t="shared" si="4"/>
        <v>9.8578094963411689E-2</v>
      </c>
      <c r="K18">
        <f t="shared" si="4"/>
        <v>0.11098338095060729</v>
      </c>
      <c r="L18">
        <f t="shared" si="4"/>
        <v>0.12299743538095315</v>
      </c>
      <c r="M18">
        <f t="shared" si="4"/>
        <v>0.13462915792703681</v>
      </c>
      <c r="N18">
        <f t="shared" si="4"/>
        <v>0.1458872699818933</v>
      </c>
      <c r="O18">
        <f t="shared" si="4"/>
        <v>0.1567803179948275</v>
      </c>
      <c r="P18">
        <f t="shared" si="4"/>
        <v>0.16731667674742529</v>
      </c>
      <c r="Q18">
        <f t="shared" si="4"/>
        <v>0.17750455257079437</v>
      </c>
      <c r="R18">
        <f t="shared" si="4"/>
        <v>0.18735198650505969</v>
      </c>
      <c r="S18">
        <f t="shared" si="4"/>
        <v>0.19686685740211859</v>
      </c>
      <c r="T18">
        <f t="shared" si="4"/>
        <v>0.20605688497264563</v>
      </c>
      <c r="U18">
        <f t="shared" si="4"/>
        <v>0.21492963277831917</v>
      </c>
      <c r="V18">
        <f t="shared" si="4"/>
        <v>0.22349251117022534</v>
      </c>
      <c r="W18">
        <f t="shared" si="4"/>
        <v>4.8668083836619536</v>
      </c>
    </row>
    <row r="19" spans="2:25" x14ac:dyDescent="0.2">
      <c r="C19" s="3">
        <f>SUM(D18:W18)</f>
        <v>7.3180638647822338</v>
      </c>
    </row>
    <row r="20" spans="2:25" x14ac:dyDescent="0.2">
      <c r="C20" s="3" t="s">
        <v>38</v>
      </c>
      <c r="D20">
        <f>-C19*C16/10000</f>
        <v>-0.11696418586788768</v>
      </c>
    </row>
    <row r="21" spans="2:25" x14ac:dyDescent="0.2">
      <c r="C21" s="3"/>
    </row>
    <row r="24" spans="2:25" x14ac:dyDescent="0.2">
      <c r="B24" s="4" t="s">
        <v>20</v>
      </c>
    </row>
    <row r="25" spans="2:25" x14ac:dyDescent="0.2">
      <c r="C25" s="3">
        <v>-100</v>
      </c>
    </row>
    <row r="26" spans="2:25" x14ac:dyDescent="0.2">
      <c r="C26" t="s">
        <v>37</v>
      </c>
      <c r="E26">
        <v>0.25</v>
      </c>
    </row>
    <row r="27" spans="2:25" x14ac:dyDescent="0.2">
      <c r="C27" t="s">
        <v>38</v>
      </c>
      <c r="E27">
        <f>E26*C25/10000</f>
        <v>-2.5000000000000001E-3</v>
      </c>
    </row>
    <row r="30" spans="2:25" x14ac:dyDescent="0.2">
      <c r="B30" t="s">
        <v>21</v>
      </c>
    </row>
    <row r="31" spans="2:25" x14ac:dyDescent="0.2">
      <c r="C31" t="s">
        <v>15</v>
      </c>
    </row>
    <row r="32" spans="2:25" x14ac:dyDescent="0.2">
      <c r="C32" t="s">
        <v>16</v>
      </c>
      <c r="W32">
        <v>100</v>
      </c>
    </row>
    <row r="33" spans="1:23" x14ac:dyDescent="0.2">
      <c r="C33" t="s">
        <v>19</v>
      </c>
      <c r="W33">
        <f>W14</f>
        <v>0.74081822068171788</v>
      </c>
    </row>
    <row r="34" spans="1:23" x14ac:dyDescent="0.2">
      <c r="C34" t="s">
        <v>17</v>
      </c>
      <c r="W34">
        <f>W32*W33</f>
        <v>74.081822068171789</v>
      </c>
    </row>
    <row r="35" spans="1:23" x14ac:dyDescent="0.2">
      <c r="C35" s="3">
        <f>SUM(D34:W34)</f>
        <v>74.081822068171789</v>
      </c>
    </row>
    <row r="36" spans="1:23" x14ac:dyDescent="0.2">
      <c r="C36" t="s">
        <v>28</v>
      </c>
      <c r="W36">
        <v>1</v>
      </c>
    </row>
    <row r="37" spans="1:23" x14ac:dyDescent="0.2">
      <c r="C37" t="s">
        <v>39</v>
      </c>
      <c r="W37">
        <f>W36*W12</f>
        <v>10</v>
      </c>
    </row>
    <row r="38" spans="1:23" x14ac:dyDescent="0.2">
      <c r="C38" t="s">
        <v>40</v>
      </c>
      <c r="E38" s="3">
        <f>SUM(D37:W37)</f>
        <v>10</v>
      </c>
    </row>
    <row r="39" spans="1:23" x14ac:dyDescent="0.2">
      <c r="C39" t="s">
        <v>38</v>
      </c>
      <c r="D39">
        <f>-E38*C35/10000</f>
        <v>-7.4081822068171793E-2</v>
      </c>
    </row>
    <row r="41" spans="1:23" x14ac:dyDescent="0.2">
      <c r="B41" t="s">
        <v>52</v>
      </c>
    </row>
    <row r="43" spans="1:23" x14ac:dyDescent="0.2">
      <c r="B43" t="s">
        <v>0</v>
      </c>
      <c r="D43" s="3">
        <f>C16+C25+C35</f>
        <v>133.91123600752147</v>
      </c>
      <c r="E43" t="s">
        <v>22</v>
      </c>
    </row>
    <row r="45" spans="1:23" x14ac:dyDescent="0.2">
      <c r="B45" t="s">
        <v>23</v>
      </c>
      <c r="D45" s="5">
        <f>C5</f>
        <v>100000000</v>
      </c>
      <c r="E45" t="s">
        <v>24</v>
      </c>
      <c r="I45" s="6">
        <f>C5*D43/100</f>
        <v>133911236.00752145</v>
      </c>
    </row>
    <row r="48" spans="1:23" x14ac:dyDescent="0.2">
      <c r="A48" t="s">
        <v>25</v>
      </c>
      <c r="C48" t="s">
        <v>26</v>
      </c>
      <c r="D48" t="s">
        <v>27</v>
      </c>
      <c r="G48" s="7" t="s">
        <v>42</v>
      </c>
      <c r="H48" s="7" t="s">
        <v>35</v>
      </c>
      <c r="I48" s="7" t="s">
        <v>44</v>
      </c>
    </row>
    <row r="49" spans="1:10" x14ac:dyDescent="0.2">
      <c r="E49" t="s">
        <v>41</v>
      </c>
      <c r="G49">
        <f>C16/D43</f>
        <v>1.1935474475821615</v>
      </c>
      <c r="H49">
        <f>C19</f>
        <v>7.3180638647822338</v>
      </c>
      <c r="I49">
        <f>G49*H49</f>
        <v>8.7344564470540824</v>
      </c>
    </row>
    <row r="50" spans="1:10" x14ac:dyDescent="0.2">
      <c r="E50" t="s">
        <v>43</v>
      </c>
      <c r="G50">
        <f>C25/D43</f>
        <v>-0.74676332607656049</v>
      </c>
      <c r="H50">
        <f>E26</f>
        <v>0.25</v>
      </c>
      <c r="I50">
        <f>G50*H50</f>
        <v>-0.18669083151914012</v>
      </c>
    </row>
    <row r="51" spans="1:10" x14ac:dyDescent="0.2">
      <c r="E51" t="s">
        <v>45</v>
      </c>
      <c r="G51">
        <f>C35/D43</f>
        <v>0.55321587849439902</v>
      </c>
      <c r="H51">
        <f>E38</f>
        <v>10</v>
      </c>
      <c r="I51">
        <f>G51*H51</f>
        <v>5.5321587849439897</v>
      </c>
    </row>
    <row r="52" spans="1:10" x14ac:dyDescent="0.2">
      <c r="G52">
        <f>SUM(G49:G51)</f>
        <v>1</v>
      </c>
      <c r="I52" s="3">
        <f>SUM(I49:I51)</f>
        <v>14.079924400478932</v>
      </c>
      <c r="J52" t="s">
        <v>47</v>
      </c>
    </row>
    <row r="53" spans="1:10" x14ac:dyDescent="0.2">
      <c r="E53" t="s">
        <v>46</v>
      </c>
      <c r="G53">
        <f>-I52*D43/10000</f>
        <v>-0.18854600793605944</v>
      </c>
    </row>
    <row r="56" spans="1:10" x14ac:dyDescent="0.2">
      <c r="A56" t="s">
        <v>48</v>
      </c>
    </row>
    <row r="57" spans="1:10" x14ac:dyDescent="0.2">
      <c r="B57" t="s">
        <v>49</v>
      </c>
      <c r="D57" t="s">
        <v>53</v>
      </c>
    </row>
    <row r="58" spans="1:10" x14ac:dyDescent="0.2">
      <c r="C58" t="s">
        <v>50</v>
      </c>
      <c r="E58" s="2">
        <v>100000000</v>
      </c>
      <c r="F58" t="s">
        <v>51</v>
      </c>
    </row>
    <row r="60" spans="1:10" x14ac:dyDescent="0.2">
      <c r="A60" t="s">
        <v>54</v>
      </c>
      <c r="C60" t="s">
        <v>55</v>
      </c>
    </row>
    <row r="62" spans="1:10" x14ac:dyDescent="0.2">
      <c r="A62" t="s">
        <v>56</v>
      </c>
    </row>
    <row r="63" spans="1:10" x14ac:dyDescent="0.2">
      <c r="B63" t="s">
        <v>1</v>
      </c>
      <c r="D63" s="1">
        <v>0.3</v>
      </c>
      <c r="E63" t="s">
        <v>3</v>
      </c>
      <c r="G63" t="s">
        <v>4</v>
      </c>
      <c r="H63" t="s">
        <v>5</v>
      </c>
    </row>
    <row r="64" spans="1:10" x14ac:dyDescent="0.2">
      <c r="B64" t="s">
        <v>2</v>
      </c>
    </row>
    <row r="65" spans="1:22" x14ac:dyDescent="0.2">
      <c r="B65" t="s">
        <v>6</v>
      </c>
      <c r="D65" t="s">
        <v>58</v>
      </c>
      <c r="F65" t="s">
        <v>59</v>
      </c>
      <c r="J65" t="s">
        <v>57</v>
      </c>
    </row>
    <row r="66" spans="1:22" x14ac:dyDescent="0.2">
      <c r="B66" t="s">
        <v>9</v>
      </c>
      <c r="C66" s="2">
        <v>100000000</v>
      </c>
    </row>
    <row r="68" spans="1:22" x14ac:dyDescent="0.2">
      <c r="B68" t="s">
        <v>12</v>
      </c>
      <c r="D68">
        <v>0.03</v>
      </c>
      <c r="E68" t="s">
        <v>18</v>
      </c>
      <c r="F68" t="s">
        <v>33</v>
      </c>
      <c r="G68">
        <f>EXP(D68)-1</f>
        <v>3.0454533953516938E-2</v>
      </c>
      <c r="H68" t="s">
        <v>62</v>
      </c>
      <c r="J68">
        <f>2*((1+G68)^(1/2)-1)</f>
        <v>3.0226129231437859E-2</v>
      </c>
    </row>
    <row r="70" spans="1:22" x14ac:dyDescent="0.2">
      <c r="A70" t="s">
        <v>15</v>
      </c>
      <c r="B70">
        <v>0.5</v>
      </c>
      <c r="C70">
        <v>1</v>
      </c>
      <c r="D70">
        <v>1.5</v>
      </c>
      <c r="E70">
        <v>2</v>
      </c>
      <c r="F70">
        <v>2.5</v>
      </c>
      <c r="G70">
        <v>3</v>
      </c>
      <c r="H70">
        <v>3.5</v>
      </c>
      <c r="I70">
        <v>4</v>
      </c>
      <c r="J70">
        <v>4.5</v>
      </c>
      <c r="K70">
        <v>5</v>
      </c>
      <c r="L70">
        <v>5.5</v>
      </c>
      <c r="M70">
        <v>6</v>
      </c>
      <c r="N70">
        <v>6.5</v>
      </c>
      <c r="O70">
        <v>7</v>
      </c>
      <c r="P70">
        <v>7.5</v>
      </c>
      <c r="Q70">
        <v>8</v>
      </c>
      <c r="R70">
        <v>8.5</v>
      </c>
      <c r="S70">
        <v>9</v>
      </c>
      <c r="T70">
        <v>9.5</v>
      </c>
      <c r="U70">
        <v>10</v>
      </c>
    </row>
    <row r="71" spans="1:22" x14ac:dyDescent="0.2">
      <c r="A71" t="s">
        <v>16</v>
      </c>
      <c r="B71">
        <f>50*$D$63</f>
        <v>15</v>
      </c>
      <c r="C71">
        <f t="shared" ref="C71:T71" si="5">50*$D$63</f>
        <v>15</v>
      </c>
      <c r="D71">
        <f t="shared" si="5"/>
        <v>15</v>
      </c>
      <c r="E71">
        <f t="shared" si="5"/>
        <v>15</v>
      </c>
      <c r="F71">
        <f t="shared" si="5"/>
        <v>15</v>
      </c>
      <c r="G71">
        <f t="shared" si="5"/>
        <v>15</v>
      </c>
      <c r="H71">
        <f t="shared" si="5"/>
        <v>15</v>
      </c>
      <c r="I71">
        <f t="shared" si="5"/>
        <v>15</v>
      </c>
      <c r="J71">
        <f t="shared" si="5"/>
        <v>15</v>
      </c>
      <c r="K71">
        <f t="shared" si="5"/>
        <v>15</v>
      </c>
      <c r="L71">
        <f t="shared" si="5"/>
        <v>15</v>
      </c>
      <c r="M71">
        <f t="shared" si="5"/>
        <v>15</v>
      </c>
      <c r="N71">
        <f t="shared" si="5"/>
        <v>15</v>
      </c>
      <c r="O71">
        <f t="shared" si="5"/>
        <v>15</v>
      </c>
      <c r="P71">
        <f t="shared" si="5"/>
        <v>15</v>
      </c>
      <c r="Q71">
        <f t="shared" si="5"/>
        <v>15</v>
      </c>
      <c r="R71">
        <f t="shared" si="5"/>
        <v>15</v>
      </c>
      <c r="S71">
        <f t="shared" si="5"/>
        <v>15</v>
      </c>
      <c r="T71">
        <f t="shared" si="5"/>
        <v>15</v>
      </c>
      <c r="U71">
        <f>100*(1+0.5*$D$63)</f>
        <v>114.99999999999999</v>
      </c>
    </row>
    <row r="72" spans="1:22" x14ac:dyDescent="0.2">
      <c r="A72" t="s">
        <v>19</v>
      </c>
      <c r="B72">
        <f>EXP(-$D$68*B70)</f>
        <v>0.98511193960306265</v>
      </c>
      <c r="C72">
        <f t="shared" ref="C72:U72" si="6">EXP(-$D$68*C70)</f>
        <v>0.97044553354850815</v>
      </c>
      <c r="D72">
        <f t="shared" si="6"/>
        <v>0.95599748183309996</v>
      </c>
      <c r="E72">
        <f t="shared" si="6"/>
        <v>0.94176453358424872</v>
      </c>
      <c r="F72">
        <f t="shared" si="6"/>
        <v>0.92774348632855286</v>
      </c>
      <c r="G72">
        <f t="shared" si="6"/>
        <v>0.91393118527122819</v>
      </c>
      <c r="H72">
        <f t="shared" si="6"/>
        <v>0.90032452258626561</v>
      </c>
      <c r="I72">
        <f t="shared" si="6"/>
        <v>0.88692043671715748</v>
      </c>
      <c r="J72">
        <f t="shared" si="6"/>
        <v>0.87371591168803442</v>
      </c>
      <c r="K72">
        <f t="shared" si="6"/>
        <v>0.86070797642505781</v>
      </c>
      <c r="L72">
        <f t="shared" si="6"/>
        <v>0.84789370408791587</v>
      </c>
      <c r="M72">
        <f t="shared" si="6"/>
        <v>0.835270211411272</v>
      </c>
      <c r="N72">
        <f t="shared" si="6"/>
        <v>0.82283465805601841</v>
      </c>
      <c r="O72">
        <f t="shared" si="6"/>
        <v>0.81058424597018708</v>
      </c>
      <c r="P72">
        <f t="shared" si="6"/>
        <v>0.79851621875937706</v>
      </c>
      <c r="Q72">
        <f t="shared" si="6"/>
        <v>0.78662786106655347</v>
      </c>
      <c r="R72">
        <f t="shared" si="6"/>
        <v>0.77491649796108097</v>
      </c>
      <c r="S72">
        <f t="shared" si="6"/>
        <v>0.76337949433685315</v>
      </c>
      <c r="T72">
        <f t="shared" si="6"/>
        <v>0.75201425431938262</v>
      </c>
      <c r="U72">
        <f t="shared" si="6"/>
        <v>0.74081822068171788</v>
      </c>
    </row>
    <row r="73" spans="1:22" x14ac:dyDescent="0.2">
      <c r="A73" t="s">
        <v>17</v>
      </c>
      <c r="B73">
        <f>B71*B72</f>
        <v>14.77667909404594</v>
      </c>
      <c r="C73">
        <f t="shared" ref="C73:U73" si="7">C71*C72</f>
        <v>14.556683003227622</v>
      </c>
      <c r="D73">
        <f t="shared" si="7"/>
        <v>14.3399622274965</v>
      </c>
      <c r="E73">
        <f t="shared" si="7"/>
        <v>14.126468003763732</v>
      </c>
      <c r="F73">
        <f t="shared" si="7"/>
        <v>13.916152294928294</v>
      </c>
      <c r="G73">
        <f t="shared" si="7"/>
        <v>13.708967779068423</v>
      </c>
      <c r="H73">
        <f t="shared" si="7"/>
        <v>13.504867838793984</v>
      </c>
      <c r="I73">
        <f t="shared" si="7"/>
        <v>13.303806550757361</v>
      </c>
      <c r="J73">
        <f t="shared" si="7"/>
        <v>13.105738675320517</v>
      </c>
      <c r="K73">
        <f t="shared" si="7"/>
        <v>12.910619646375867</v>
      </c>
      <c r="L73">
        <f t="shared" si="7"/>
        <v>12.718405561318738</v>
      </c>
      <c r="M73">
        <f t="shared" si="7"/>
        <v>12.52905317116908</v>
      </c>
      <c r="N73">
        <f t="shared" si="7"/>
        <v>12.342519870840276</v>
      </c>
      <c r="O73">
        <f t="shared" si="7"/>
        <v>12.158763689552806</v>
      </c>
      <c r="P73">
        <f t="shared" si="7"/>
        <v>11.977743281390655</v>
      </c>
      <c r="Q73">
        <f t="shared" si="7"/>
        <v>11.799417915998301</v>
      </c>
      <c r="R73">
        <f t="shared" si="7"/>
        <v>11.623747469416214</v>
      </c>
      <c r="S73">
        <f t="shared" si="7"/>
        <v>11.450692415052798</v>
      </c>
      <c r="T73">
        <f t="shared" si="7"/>
        <v>11.28021381479074</v>
      </c>
      <c r="U73">
        <f t="shared" si="7"/>
        <v>85.194095378397549</v>
      </c>
    </row>
    <row r="74" spans="1:22" x14ac:dyDescent="0.2">
      <c r="A74" s="3">
        <f>SUM(B73:U73)</f>
        <v>331.32459768170537</v>
      </c>
    </row>
    <row r="75" spans="1:22" x14ac:dyDescent="0.2">
      <c r="A75" t="s">
        <v>28</v>
      </c>
      <c r="B75">
        <f>B73/$A$74</f>
        <v>4.4598798874092342E-2</v>
      </c>
      <c r="C75">
        <f t="shared" ref="C75:U75" si="8">C73/$A$74</f>
        <v>4.3934809262823997E-2</v>
      </c>
      <c r="D75">
        <f t="shared" si="8"/>
        <v>4.328070516899115E-2</v>
      </c>
      <c r="E75">
        <f t="shared" si="8"/>
        <v>4.2636339416413177E-2</v>
      </c>
      <c r="F75">
        <f t="shared" si="8"/>
        <v>4.2001567020077291E-2</v>
      </c>
      <c r="G75">
        <f t="shared" si="8"/>
        <v>4.1376245153516372E-2</v>
      </c>
      <c r="H75">
        <f t="shared" si="8"/>
        <v>4.0760233116672331E-2</v>
      </c>
      <c r="I75">
        <f t="shared" si="8"/>
        <v>4.0153392304238061E-2</v>
      </c>
      <c r="J75">
        <f t="shared" si="8"/>
        <v>3.9555586174470657E-2</v>
      </c>
      <c r="K75">
        <f t="shared" si="8"/>
        <v>3.8966680218468872E-2</v>
      </c>
      <c r="L75">
        <f t="shared" si="8"/>
        <v>3.8386541929908168E-2</v>
      </c>
      <c r="M75">
        <f t="shared" si="8"/>
        <v>3.7815040775226128E-2</v>
      </c>
      <c r="N75">
        <f t="shared" si="8"/>
        <v>3.7252048164251914E-2</v>
      </c>
      <c r="O75">
        <f t="shared" si="8"/>
        <v>3.6697437421272912E-2</v>
      </c>
      <c r="P75">
        <f t="shared" si="8"/>
        <v>3.6151083756532171E-2</v>
      </c>
      <c r="Q75">
        <f t="shared" si="8"/>
        <v>3.5612864238150181E-2</v>
      </c>
      <c r="R75">
        <f t="shared" si="8"/>
        <v>3.5082657764464668E-2</v>
      </c>
      <c r="S75">
        <f t="shared" si="8"/>
        <v>3.4560345036782236E-2</v>
      </c>
      <c r="T75">
        <f t="shared" si="8"/>
        <v>3.404580853253563E-2</v>
      </c>
      <c r="U75">
        <f t="shared" si="8"/>
        <v>0.25713181567111182</v>
      </c>
      <c r="V75">
        <f>SUM(B75:U75)</f>
        <v>1</v>
      </c>
    </row>
    <row r="76" spans="1:22" x14ac:dyDescent="0.2">
      <c r="A76" t="s">
        <v>68</v>
      </c>
      <c r="B76">
        <f>B70*B75</f>
        <v>2.2299399437046171E-2</v>
      </c>
      <c r="C76">
        <f t="shared" ref="C76:U76" si="9">C70*C75</f>
        <v>4.3934809262823997E-2</v>
      </c>
      <c r="D76">
        <f t="shared" si="9"/>
        <v>6.4921057753486722E-2</v>
      </c>
      <c r="E76">
        <f t="shared" si="9"/>
        <v>8.5272678832826354E-2</v>
      </c>
      <c r="F76">
        <f t="shared" si="9"/>
        <v>0.10500391755019323</v>
      </c>
      <c r="G76">
        <f t="shared" si="9"/>
        <v>0.12412873546054912</v>
      </c>
      <c r="H76">
        <f t="shared" si="9"/>
        <v>0.14266081590835317</v>
      </c>
      <c r="I76">
        <f t="shared" si="9"/>
        <v>0.16061356921695225</v>
      </c>
      <c r="J76">
        <f t="shared" si="9"/>
        <v>0.17800013778511795</v>
      </c>
      <c r="K76">
        <f t="shared" si="9"/>
        <v>0.19483340109234437</v>
      </c>
      <c r="L76">
        <f t="shared" si="9"/>
        <v>0.21112598061449492</v>
      </c>
      <c r="M76">
        <f t="shared" si="9"/>
        <v>0.22689024465135677</v>
      </c>
      <c r="N76">
        <f t="shared" si="9"/>
        <v>0.24213831306763745</v>
      </c>
      <c r="O76">
        <f t="shared" si="9"/>
        <v>0.25688206194891039</v>
      </c>
      <c r="P76">
        <f t="shared" si="9"/>
        <v>0.27113312817399127</v>
      </c>
      <c r="Q76">
        <f t="shared" si="9"/>
        <v>0.28490291390520145</v>
      </c>
      <c r="R76">
        <f t="shared" si="9"/>
        <v>0.29820259099794966</v>
      </c>
      <c r="S76">
        <f t="shared" si="9"/>
        <v>0.31104310533104013</v>
      </c>
      <c r="T76">
        <f t="shared" si="9"/>
        <v>0.32343518105908847</v>
      </c>
      <c r="U76">
        <f t="shared" si="9"/>
        <v>2.5713181567111181</v>
      </c>
    </row>
    <row r="77" spans="1:22" x14ac:dyDescent="0.2">
      <c r="A77" s="3">
        <f>SUM(B76:U76)</f>
        <v>6.1187401987604826</v>
      </c>
    </row>
    <row r="81" spans="1:21" x14ac:dyDescent="0.2">
      <c r="A81" t="s">
        <v>43</v>
      </c>
    </row>
    <row r="82" spans="1:21" x14ac:dyDescent="0.2">
      <c r="B82" t="s">
        <v>60</v>
      </c>
      <c r="D82" s="3">
        <f>-3*100</f>
        <v>-300</v>
      </c>
    </row>
    <row r="83" spans="1:21" x14ac:dyDescent="0.2">
      <c r="B83" t="s">
        <v>69</v>
      </c>
      <c r="C83" s="3">
        <v>0.5</v>
      </c>
    </row>
    <row r="86" spans="1:21" x14ac:dyDescent="0.2">
      <c r="A86" t="s">
        <v>61</v>
      </c>
      <c r="C86" t="s">
        <v>63</v>
      </c>
    </row>
    <row r="87" spans="1:21" x14ac:dyDescent="0.2">
      <c r="A87" t="s">
        <v>64</v>
      </c>
      <c r="B87">
        <v>0.5</v>
      </c>
      <c r="C87">
        <v>1</v>
      </c>
      <c r="D87">
        <v>1.5</v>
      </c>
      <c r="E87">
        <v>2</v>
      </c>
      <c r="F87">
        <v>2.5</v>
      </c>
      <c r="G87">
        <v>3</v>
      </c>
      <c r="H87">
        <v>3.5</v>
      </c>
      <c r="I87">
        <v>4</v>
      </c>
      <c r="J87">
        <v>4.5</v>
      </c>
      <c r="K87">
        <v>5</v>
      </c>
      <c r="L87">
        <v>5.5</v>
      </c>
      <c r="M87">
        <v>6</v>
      </c>
      <c r="N87">
        <v>6.5</v>
      </c>
      <c r="O87">
        <v>7</v>
      </c>
      <c r="P87">
        <v>7.5</v>
      </c>
      <c r="Q87">
        <v>8</v>
      </c>
      <c r="R87">
        <v>8.5</v>
      </c>
      <c r="S87">
        <v>9</v>
      </c>
      <c r="T87">
        <v>9.5</v>
      </c>
      <c r="U87">
        <v>10</v>
      </c>
    </row>
    <row r="88" spans="1:21" x14ac:dyDescent="0.2">
      <c r="A88" t="s">
        <v>16</v>
      </c>
      <c r="U88">
        <v>100</v>
      </c>
    </row>
    <row r="89" spans="1:21" x14ac:dyDescent="0.2">
      <c r="A89" t="s">
        <v>19</v>
      </c>
      <c r="U89">
        <f>U72</f>
        <v>0.74081822068171788</v>
      </c>
    </row>
    <row r="90" spans="1:21" x14ac:dyDescent="0.2">
      <c r="A90" t="s">
        <v>17</v>
      </c>
      <c r="U90">
        <f>U88*U89</f>
        <v>74.081822068171789</v>
      </c>
    </row>
    <row r="91" spans="1:21" x14ac:dyDescent="0.2">
      <c r="A91">
        <f>SUM(B90:U90)</f>
        <v>74.081822068171789</v>
      </c>
    </row>
    <row r="92" spans="1:21" x14ac:dyDescent="0.2">
      <c r="A92" t="s">
        <v>39</v>
      </c>
      <c r="B92">
        <f>B87*B90/$A$91</f>
        <v>0</v>
      </c>
      <c r="C92">
        <f t="shared" ref="C92:V92" si="10">C87*C90/$A$91</f>
        <v>0</v>
      </c>
      <c r="D92">
        <f t="shared" si="10"/>
        <v>0</v>
      </c>
      <c r="E92">
        <f t="shared" si="10"/>
        <v>0</v>
      </c>
      <c r="F92">
        <f t="shared" si="10"/>
        <v>0</v>
      </c>
      <c r="G92">
        <f t="shared" si="10"/>
        <v>0</v>
      </c>
      <c r="H92">
        <f t="shared" si="10"/>
        <v>0</v>
      </c>
      <c r="I92">
        <f t="shared" si="10"/>
        <v>0</v>
      </c>
      <c r="J92">
        <f t="shared" si="10"/>
        <v>0</v>
      </c>
      <c r="K92">
        <f t="shared" si="10"/>
        <v>0</v>
      </c>
      <c r="L92">
        <f t="shared" si="10"/>
        <v>0</v>
      </c>
      <c r="M92">
        <f t="shared" si="10"/>
        <v>0</v>
      </c>
      <c r="N92">
        <f t="shared" si="10"/>
        <v>0</v>
      </c>
      <c r="O92">
        <f t="shared" si="10"/>
        <v>0</v>
      </c>
      <c r="P92">
        <f t="shared" si="10"/>
        <v>0</v>
      </c>
      <c r="Q92">
        <f t="shared" si="10"/>
        <v>0</v>
      </c>
      <c r="R92">
        <f t="shared" si="10"/>
        <v>0</v>
      </c>
      <c r="S92">
        <f t="shared" si="10"/>
        <v>0</v>
      </c>
      <c r="T92">
        <f t="shared" si="10"/>
        <v>0</v>
      </c>
      <c r="U92">
        <f t="shared" si="10"/>
        <v>10</v>
      </c>
    </row>
    <row r="93" spans="1:21" x14ac:dyDescent="0.2">
      <c r="A93" s="3">
        <f>SUM(B92:U92)</f>
        <v>10</v>
      </c>
    </row>
    <row r="96" spans="1:21" x14ac:dyDescent="0.2">
      <c r="D96" s="3">
        <f>3*A91</f>
        <v>222.24546620451537</v>
      </c>
    </row>
    <row r="98" spans="1:7" x14ac:dyDescent="0.2">
      <c r="A98" t="s">
        <v>66</v>
      </c>
      <c r="D98" s="3">
        <f>A74+D82+D96</f>
        <v>253.57006388622074</v>
      </c>
      <c r="E98" s="2">
        <v>100000000</v>
      </c>
      <c r="F98" t="s">
        <v>65</v>
      </c>
      <c r="G98" s="6">
        <f>D98/100*E98</f>
        <v>253570063.88622075</v>
      </c>
    </row>
    <row r="100" spans="1:7" x14ac:dyDescent="0.2">
      <c r="A100" t="s">
        <v>67</v>
      </c>
      <c r="E100" s="7" t="s">
        <v>42</v>
      </c>
      <c r="F100" s="7" t="s">
        <v>35</v>
      </c>
      <c r="G100" s="7" t="s">
        <v>71</v>
      </c>
    </row>
    <row r="101" spans="1:7" x14ac:dyDescent="0.2">
      <c r="D101" t="s">
        <v>70</v>
      </c>
      <c r="E101">
        <f>A74/D98</f>
        <v>1.3066392483553335</v>
      </c>
      <c r="F101">
        <f>A77</f>
        <v>6.1187401987604826</v>
      </c>
      <c r="G101">
        <f>E101*F101</f>
        <v>7.9949860941899606</v>
      </c>
    </row>
    <row r="102" spans="1:7" x14ac:dyDescent="0.2">
      <c r="D102" t="s">
        <v>72</v>
      </c>
      <c r="E102">
        <f>D82/D98</f>
        <v>-1.1831049588511868</v>
      </c>
      <c r="F102">
        <f>C83</f>
        <v>0.5</v>
      </c>
      <c r="G102">
        <f>E102*F102</f>
        <v>-0.59155247942559341</v>
      </c>
    </row>
    <row r="103" spans="1:7" x14ac:dyDescent="0.2">
      <c r="D103" t="s">
        <v>61</v>
      </c>
      <c r="E103">
        <f>D96/D98</f>
        <v>0.87646571049585331</v>
      </c>
      <c r="F103">
        <f>A93</f>
        <v>10</v>
      </c>
      <c r="G103">
        <f>E103*F103</f>
        <v>8.764657104958534</v>
      </c>
    </row>
    <row r="104" spans="1:7" x14ac:dyDescent="0.2">
      <c r="F104" t="s">
        <v>69</v>
      </c>
      <c r="G104" s="3">
        <f>SUM(G101:G103)</f>
        <v>16.168090719722901</v>
      </c>
    </row>
    <row r="105" spans="1:7" x14ac:dyDescent="0.2">
      <c r="F105" t="s">
        <v>38</v>
      </c>
      <c r="G105">
        <f>-G104*D98/10000</f>
        <v>-0.40997437967183487</v>
      </c>
    </row>
    <row r="108" spans="1:7" x14ac:dyDescent="0.2">
      <c r="A108" t="s">
        <v>73</v>
      </c>
    </row>
    <row r="109" spans="1:7" x14ac:dyDescent="0.2">
      <c r="A109" t="s">
        <v>74</v>
      </c>
    </row>
    <row r="110" spans="1:7" x14ac:dyDescent="0.2">
      <c r="A110" t="s">
        <v>75</v>
      </c>
    </row>
    <row r="111" spans="1:7" x14ac:dyDescent="0.2">
      <c r="A111" t="s">
        <v>76</v>
      </c>
    </row>
    <row r="112" spans="1:7" x14ac:dyDescent="0.2">
      <c r="A112" t="s">
        <v>77</v>
      </c>
    </row>
    <row r="114" spans="1:6" x14ac:dyDescent="0.2">
      <c r="A114" t="s">
        <v>78</v>
      </c>
    </row>
    <row r="115" spans="1:6" x14ac:dyDescent="0.2">
      <c r="A115" s="8">
        <v>34334</v>
      </c>
      <c r="B115" s="2">
        <v>8000000000</v>
      </c>
      <c r="C115" t="s">
        <v>79</v>
      </c>
    </row>
    <row r="116" spans="1:6" x14ac:dyDescent="0.2">
      <c r="B116" s="2">
        <v>12000000000</v>
      </c>
      <c r="C116" t="s">
        <v>80</v>
      </c>
    </row>
    <row r="117" spans="1:6" x14ac:dyDescent="0.2">
      <c r="B117" s="2">
        <v>3000000000</v>
      </c>
      <c r="C117" t="s">
        <v>81</v>
      </c>
    </row>
    <row r="118" spans="1:6" x14ac:dyDescent="0.2">
      <c r="B118" t="s">
        <v>82</v>
      </c>
      <c r="C118">
        <v>0.03</v>
      </c>
    </row>
    <row r="120" spans="1:6" x14ac:dyDescent="0.2">
      <c r="A120" s="8">
        <v>34699</v>
      </c>
      <c r="B120" s="2">
        <v>18000000000</v>
      </c>
      <c r="C120" t="s">
        <v>83</v>
      </c>
    </row>
    <row r="121" spans="1:6" x14ac:dyDescent="0.2">
      <c r="B121" s="2">
        <v>6000000000</v>
      </c>
      <c r="C121" t="s">
        <v>84</v>
      </c>
    </row>
    <row r="124" spans="1:6" x14ac:dyDescent="0.2">
      <c r="B124" t="s">
        <v>82</v>
      </c>
      <c r="C124">
        <v>5.7000000000000002E-2</v>
      </c>
    </row>
    <row r="126" spans="1:6" x14ac:dyDescent="0.2">
      <c r="B126" t="s">
        <v>85</v>
      </c>
      <c r="C126" s="9">
        <f>LN(B121)-LN(B115)</f>
        <v>-0.28768207245178345</v>
      </c>
      <c r="E126" t="s">
        <v>69</v>
      </c>
      <c r="F126" s="10" t="s">
        <v>89</v>
      </c>
    </row>
    <row r="127" spans="1:6" x14ac:dyDescent="0.2">
      <c r="E127" t="s">
        <v>86</v>
      </c>
      <c r="F127" s="9">
        <f>LN(B121)-LN(B115)</f>
        <v>-0.28768207245178345</v>
      </c>
    </row>
    <row r="128" spans="1:6" x14ac:dyDescent="0.2">
      <c r="E128" t="s">
        <v>87</v>
      </c>
      <c r="F128">
        <f>C124-C118</f>
        <v>2.7000000000000003E-2</v>
      </c>
    </row>
    <row r="129" spans="1:10" x14ac:dyDescent="0.2">
      <c r="E129" t="s">
        <v>88</v>
      </c>
      <c r="F129" s="3">
        <f>-F127/F128</f>
        <v>10.654891572288275</v>
      </c>
      <c r="G129" t="s">
        <v>91</v>
      </c>
    </row>
    <row r="130" spans="1:10" x14ac:dyDescent="0.2">
      <c r="E130" t="s">
        <v>90</v>
      </c>
      <c r="F130">
        <f>F129*2.7</f>
        <v>28.768207245178342</v>
      </c>
    </row>
    <row r="132" spans="1:10" x14ac:dyDescent="0.2">
      <c r="A132" t="s">
        <v>92</v>
      </c>
      <c r="E132" t="s">
        <v>93</v>
      </c>
    </row>
    <row r="133" spans="1:10" x14ac:dyDescent="0.2">
      <c r="A133" t="s">
        <v>94</v>
      </c>
      <c r="E133" t="s">
        <v>95</v>
      </c>
    </row>
    <row r="135" spans="1:10" x14ac:dyDescent="0.2">
      <c r="A135" t="s">
        <v>96</v>
      </c>
    </row>
    <row r="136" spans="1:10" x14ac:dyDescent="0.2">
      <c r="E136" t="s">
        <v>105</v>
      </c>
      <c r="G136">
        <v>1</v>
      </c>
    </row>
    <row r="137" spans="1:10" x14ac:dyDescent="0.2">
      <c r="E137" t="s">
        <v>28</v>
      </c>
      <c r="G137">
        <f>17/8</f>
        <v>2.125</v>
      </c>
    </row>
    <row r="138" spans="1:10" x14ac:dyDescent="0.2">
      <c r="E138" t="s">
        <v>97</v>
      </c>
      <c r="G138">
        <f>1/365.25</f>
        <v>2.7378507871321013E-3</v>
      </c>
    </row>
    <row r="139" spans="1:10" x14ac:dyDescent="0.2">
      <c r="E139" t="s">
        <v>28</v>
      </c>
      <c r="G139">
        <f>-12/8</f>
        <v>-1.5</v>
      </c>
    </row>
    <row r="140" spans="1:10" x14ac:dyDescent="0.2">
      <c r="E140" t="s">
        <v>106</v>
      </c>
      <c r="G140" t="s">
        <v>98</v>
      </c>
    </row>
    <row r="141" spans="1:10" x14ac:dyDescent="0.2">
      <c r="E141" t="s">
        <v>28</v>
      </c>
      <c r="G141">
        <f>3/8</f>
        <v>0.375</v>
      </c>
    </row>
    <row r="142" spans="1:10" x14ac:dyDescent="0.2">
      <c r="H142" t="s">
        <v>99</v>
      </c>
      <c r="J142">
        <f>G137+G139+G141</f>
        <v>1</v>
      </c>
    </row>
    <row r="143" spans="1:10" x14ac:dyDescent="0.2">
      <c r="E143" t="s">
        <v>107</v>
      </c>
      <c r="H143">
        <f>G136*G137+G138*G139</f>
        <v>2.1208932238193019</v>
      </c>
    </row>
    <row r="145" spans="2:9" x14ac:dyDescent="0.2">
      <c r="B145" t="s">
        <v>108</v>
      </c>
      <c r="E145">
        <f>F129</f>
        <v>10.654891572288275</v>
      </c>
      <c r="F145" s="10" t="s">
        <v>100</v>
      </c>
      <c r="G145" t="s">
        <v>101</v>
      </c>
      <c r="H145" t="s">
        <v>103</v>
      </c>
      <c r="I145">
        <f>H143</f>
        <v>2.1208932238193019</v>
      </c>
    </row>
    <row r="146" spans="2:9" x14ac:dyDescent="0.2">
      <c r="B146" t="s">
        <v>109</v>
      </c>
      <c r="E146">
        <f>E145-I145</f>
        <v>8.5339983484689732</v>
      </c>
      <c r="F146" s="10" t="s">
        <v>100</v>
      </c>
      <c r="G146" t="s">
        <v>101</v>
      </c>
      <c r="H146" t="s">
        <v>102</v>
      </c>
    </row>
    <row r="147" spans="2:9" x14ac:dyDescent="0.2">
      <c r="B147" t="s">
        <v>110</v>
      </c>
      <c r="E147">
        <f>E146/G141</f>
        <v>22.757328929250594</v>
      </c>
      <c r="F147" t="s">
        <v>104</v>
      </c>
      <c r="G147" t="s">
        <v>102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5538B-86EE-8843-ADF5-F9E3468CA018}">
  <dimension ref="A1:AP7"/>
  <sheetViews>
    <sheetView zoomScale="170" zoomScaleNormal="170" workbookViewId="0">
      <selection activeCell="C7" sqref="C7"/>
    </sheetView>
  </sheetViews>
  <sheetFormatPr baseColWidth="10" defaultRowHeight="16" x14ac:dyDescent="0.2"/>
  <sheetData>
    <row r="1" spans="1:42" x14ac:dyDescent="0.2">
      <c r="A1" t="s">
        <v>30</v>
      </c>
    </row>
    <row r="3" spans="1:42" x14ac:dyDescent="0.2">
      <c r="A3" t="s">
        <v>15</v>
      </c>
      <c r="B3">
        <v>0</v>
      </c>
      <c r="C3">
        <v>0.25</v>
      </c>
      <c r="D3">
        <v>0.5</v>
      </c>
      <c r="E3">
        <v>0.75</v>
      </c>
      <c r="F3">
        <v>1</v>
      </c>
      <c r="G3">
        <v>1.25</v>
      </c>
      <c r="H3">
        <v>1.5</v>
      </c>
      <c r="I3">
        <v>1.75</v>
      </c>
      <c r="J3">
        <v>2</v>
      </c>
      <c r="K3">
        <v>2.25</v>
      </c>
      <c r="L3">
        <v>2.5</v>
      </c>
      <c r="M3">
        <v>2.75</v>
      </c>
      <c r="N3">
        <v>3</v>
      </c>
      <c r="O3">
        <v>3.25</v>
      </c>
      <c r="P3">
        <v>3.5</v>
      </c>
      <c r="Q3">
        <v>3.75</v>
      </c>
      <c r="R3">
        <v>4</v>
      </c>
      <c r="S3">
        <v>4.25</v>
      </c>
      <c r="T3">
        <v>4.5</v>
      </c>
      <c r="U3">
        <v>4.75</v>
      </c>
      <c r="V3">
        <v>5</v>
      </c>
      <c r="W3">
        <v>5.25</v>
      </c>
      <c r="X3">
        <v>5.5</v>
      </c>
      <c r="Y3">
        <v>5.75</v>
      </c>
      <c r="Z3">
        <v>6</v>
      </c>
      <c r="AA3">
        <v>6.25</v>
      </c>
      <c r="AB3">
        <v>6.5</v>
      </c>
      <c r="AC3">
        <v>6.75</v>
      </c>
      <c r="AD3">
        <v>7</v>
      </c>
      <c r="AE3">
        <v>7.25</v>
      </c>
      <c r="AF3">
        <v>7.5</v>
      </c>
      <c r="AG3">
        <v>7.75</v>
      </c>
      <c r="AH3">
        <v>8</v>
      </c>
      <c r="AI3">
        <v>8.25</v>
      </c>
      <c r="AJ3">
        <v>8.5</v>
      </c>
      <c r="AK3">
        <v>8.75</v>
      </c>
      <c r="AL3">
        <v>9</v>
      </c>
      <c r="AM3">
        <v>9.25</v>
      </c>
      <c r="AN3">
        <v>9.5</v>
      </c>
      <c r="AO3">
        <v>9.75</v>
      </c>
      <c r="AP3">
        <v>10</v>
      </c>
    </row>
    <row r="4" spans="1:42" x14ac:dyDescent="0.2">
      <c r="A4" t="s">
        <v>31</v>
      </c>
      <c r="C4">
        <v>3.5000000000000003E-2</v>
      </c>
      <c r="AP4" t="s">
        <v>32</v>
      </c>
    </row>
    <row r="5" spans="1:42" x14ac:dyDescent="0.2">
      <c r="A5" t="s">
        <v>16</v>
      </c>
      <c r="C5">
        <f>Sheet1!J7/4*100</f>
        <v>0.75281954445338695</v>
      </c>
      <c r="D5">
        <f>0.035/4*100</f>
        <v>0.87500000000000011</v>
      </c>
    </row>
    <row r="6" spans="1:42" x14ac:dyDescent="0.2">
      <c r="A6" t="s">
        <v>19</v>
      </c>
      <c r="C6">
        <f>EXP(-0.03/4)</f>
        <v>0.99252805481913842</v>
      </c>
    </row>
    <row r="7" spans="1:42" x14ac:dyDescent="0.2">
      <c r="C7">
        <f>(100+C5)*C6</f>
        <v>99.999999999999986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2020-11-02T14:53:23Z</dcterms:created>
  <dcterms:modified xsi:type="dcterms:W3CDTF">2020-11-02T19:55:01Z</dcterms:modified>
</cp:coreProperties>
</file>