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amlap/classes/542/2020/Class4/"/>
    </mc:Choice>
  </mc:AlternateContent>
  <xr:revisionPtr revIDLastSave="0" documentId="13_ncr:1_{F714A65E-34CD-044A-8BFD-FA9BBE3C68DA}" xr6:coauthVersionLast="45" xr6:coauthVersionMax="45" xr10:uidLastSave="{00000000-0000-0000-0000-000000000000}"/>
  <bookViews>
    <workbookView xWindow="660" yWindow="1580" windowWidth="27640" windowHeight="16940" activeTab="2" xr2:uid="{0BFBD960-17E2-834B-9219-13125EB4CD45}"/>
  </bookViews>
  <sheets>
    <sheet name="Auctions" sheetId="2" r:id="rId1"/>
    <sheet name="Repo Fin" sheetId="1" r:id="rId2"/>
    <sheet name="LTCM Trade" sheetId="3" r:id="rId3"/>
  </sheets>
  <definedNames>
    <definedName name="solver_adj" localSheetId="2" hidden="1">'LTCM Trade'!$B$14</definedName>
    <definedName name="solver_cvg" localSheetId="2" hidden="1">0.0000000000001</definedName>
    <definedName name="solver_drv" localSheetId="2" hidden="1">2</definedName>
    <definedName name="solver_eng" localSheetId="2" hidden="1">1</definedName>
    <definedName name="solver_itr" localSheetId="2" hidden="1">2147483647</definedName>
    <definedName name="solver_lin" localSheetId="2" hidden="1">2</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opt" localSheetId="2" hidden="1">'LTCM Trade'!$C$21</definedName>
    <definedName name="solver_pre" localSheetId="2" hidden="1">0.0000000000000001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9" i="3" l="1"/>
  <c r="C74" i="3"/>
  <c r="C73" i="3"/>
  <c r="M74" i="3"/>
  <c r="E66" i="3"/>
  <c r="F66" i="3"/>
  <c r="G66" i="3"/>
  <c r="H66" i="3"/>
  <c r="D66" i="3"/>
  <c r="N57" i="3"/>
  <c r="O57" i="3"/>
  <c r="P57" i="3"/>
  <c r="Q57" i="3"/>
  <c r="R57" i="3"/>
  <c r="S57" i="3"/>
  <c r="T57" i="3"/>
  <c r="U57" i="3"/>
  <c r="V57" i="3"/>
  <c r="W57" i="3"/>
  <c r="X57" i="3"/>
  <c r="Y57" i="3"/>
  <c r="Z57" i="3"/>
  <c r="AA57" i="3"/>
  <c r="AB57" i="3"/>
  <c r="AC57" i="3"/>
  <c r="AD57" i="3"/>
  <c r="AE57" i="3"/>
  <c r="M57" i="3"/>
  <c r="N56" i="3"/>
  <c r="O56" i="3"/>
  <c r="P56" i="3"/>
  <c r="Q56" i="3"/>
  <c r="R56" i="3"/>
  <c r="S56" i="3"/>
  <c r="T56" i="3"/>
  <c r="U56" i="3"/>
  <c r="V56" i="3"/>
  <c r="W56" i="3"/>
  <c r="X56" i="3"/>
  <c r="Y56" i="3"/>
  <c r="Z56" i="3"/>
  <c r="AA56" i="3"/>
  <c r="AB56" i="3"/>
  <c r="AC56" i="3"/>
  <c r="AD56" i="3"/>
  <c r="AE56" i="3"/>
  <c r="H56" i="3"/>
  <c r="G56" i="3"/>
  <c r="F56" i="3"/>
  <c r="E56" i="3"/>
  <c r="D56" i="3"/>
  <c r="M56" i="3"/>
  <c r="B56" i="3"/>
  <c r="C50" i="3"/>
  <c r="S59" i="3" l="1"/>
  <c r="M59" i="3"/>
  <c r="Z59" i="3"/>
  <c r="Y59" i="3"/>
  <c r="R59" i="3"/>
  <c r="P59" i="3"/>
  <c r="D80" i="3"/>
  <c r="E80" i="3" s="1"/>
  <c r="F80" i="3" s="1"/>
  <c r="G80" i="3" s="1"/>
  <c r="H80" i="3" s="1"/>
  <c r="E78" i="3"/>
  <c r="F78" i="3"/>
  <c r="G78" i="3"/>
  <c r="H78" i="3"/>
  <c r="D78" i="3"/>
  <c r="AA78" i="3"/>
  <c r="AA79" i="3" s="1"/>
  <c r="E61" i="3"/>
  <c r="E64" i="3" s="1"/>
  <c r="S78" i="3"/>
  <c r="S79" i="3" s="1"/>
  <c r="U78" i="3"/>
  <c r="U79" i="3" s="1"/>
  <c r="Y78" i="3"/>
  <c r="Y79" i="3" s="1"/>
  <c r="Z78" i="3"/>
  <c r="Z79" i="3" s="1"/>
  <c r="N77" i="3"/>
  <c r="O77" i="3"/>
  <c r="P77" i="3"/>
  <c r="Q77" i="3"/>
  <c r="R77" i="3"/>
  <c r="S77" i="3"/>
  <c r="T77" i="3"/>
  <c r="U77" i="3"/>
  <c r="V77" i="3"/>
  <c r="W77" i="3"/>
  <c r="X77" i="3"/>
  <c r="Y77" i="3"/>
  <c r="Z77" i="3"/>
  <c r="AA77" i="3"/>
  <c r="AB77" i="3"/>
  <c r="AC77" i="3"/>
  <c r="AD77" i="3"/>
  <c r="AE77" i="3"/>
  <c r="AF77" i="3"/>
  <c r="AE76" i="3"/>
  <c r="AF76" i="3"/>
  <c r="N76" i="3"/>
  <c r="O76" i="3"/>
  <c r="P76" i="3"/>
  <c r="Q76" i="3"/>
  <c r="R76" i="3"/>
  <c r="S76" i="3"/>
  <c r="T76" i="3"/>
  <c r="U76" i="3"/>
  <c r="V76" i="3"/>
  <c r="W76" i="3"/>
  <c r="X76" i="3"/>
  <c r="Y76" i="3"/>
  <c r="Z76" i="3"/>
  <c r="AA76" i="3"/>
  <c r="AB76" i="3"/>
  <c r="AC76" i="3"/>
  <c r="AD76" i="3"/>
  <c r="AF75" i="3"/>
  <c r="N75" i="3"/>
  <c r="O75" i="3"/>
  <c r="P75" i="3"/>
  <c r="Q75" i="3"/>
  <c r="R75" i="3"/>
  <c r="S75" i="3"/>
  <c r="T75" i="3"/>
  <c r="U75" i="3"/>
  <c r="V75" i="3"/>
  <c r="W75" i="3"/>
  <c r="X75" i="3"/>
  <c r="Y75" i="3"/>
  <c r="Z75" i="3"/>
  <c r="AA75" i="3"/>
  <c r="AB75" i="3"/>
  <c r="AC75" i="3"/>
  <c r="AD75" i="3"/>
  <c r="AE75" i="3"/>
  <c r="M76" i="3"/>
  <c r="M77" i="3"/>
  <c r="L78" i="3"/>
  <c r="L77" i="3"/>
  <c r="L75" i="3"/>
  <c r="L76" i="3"/>
  <c r="M75" i="3"/>
  <c r="C72" i="3"/>
  <c r="C69" i="3"/>
  <c r="H63" i="3"/>
  <c r="H62" i="3"/>
  <c r="H61" i="3"/>
  <c r="H64" i="3" s="1"/>
  <c r="T59" i="3"/>
  <c r="U59" i="3"/>
  <c r="V59" i="3"/>
  <c r="W59" i="3"/>
  <c r="X59" i="3"/>
  <c r="AA59" i="3"/>
  <c r="AB59" i="3"/>
  <c r="AC59" i="3"/>
  <c r="E63" i="3"/>
  <c r="F63" i="3"/>
  <c r="G63" i="3"/>
  <c r="D63" i="3"/>
  <c r="E62" i="3"/>
  <c r="F62" i="3"/>
  <c r="G62" i="3"/>
  <c r="D62" i="3"/>
  <c r="F61" i="3"/>
  <c r="F64" i="3" s="1"/>
  <c r="G61" i="3"/>
  <c r="G64" i="3" s="1"/>
  <c r="D61" i="3"/>
  <c r="D64" i="3" s="1"/>
  <c r="N59" i="3"/>
  <c r="AD59" i="3"/>
  <c r="Q59" i="3"/>
  <c r="N58" i="3"/>
  <c r="O58" i="3"/>
  <c r="P58" i="3"/>
  <c r="Q58" i="3"/>
  <c r="R58" i="3"/>
  <c r="S58" i="3"/>
  <c r="T58" i="3"/>
  <c r="U58" i="3"/>
  <c r="V58" i="3"/>
  <c r="W58" i="3"/>
  <c r="X58" i="3"/>
  <c r="Y58" i="3"/>
  <c r="Z58" i="3"/>
  <c r="AA58" i="3"/>
  <c r="AB58" i="3"/>
  <c r="AC58" i="3"/>
  <c r="AD58" i="3"/>
  <c r="AE58" i="3"/>
  <c r="M58" i="3"/>
  <c r="C53" i="3"/>
  <c r="G48" i="3"/>
  <c r="C30" i="3"/>
  <c r="E30" i="3"/>
  <c r="F30" i="3"/>
  <c r="I30" i="3"/>
  <c r="J30" i="3"/>
  <c r="J31" i="3" s="1"/>
  <c r="N30" i="3"/>
  <c r="N31" i="3" s="1"/>
  <c r="B30" i="3"/>
  <c r="U29" i="3"/>
  <c r="G28" i="3"/>
  <c r="G30" i="3" s="1"/>
  <c r="H28" i="3"/>
  <c r="H30" i="3" s="1"/>
  <c r="I28" i="3"/>
  <c r="J28" i="3"/>
  <c r="K28" i="3"/>
  <c r="K30" i="3" s="1"/>
  <c r="L28" i="3"/>
  <c r="L30" i="3" s="1"/>
  <c r="M28" i="3"/>
  <c r="M30" i="3" s="1"/>
  <c r="N28" i="3"/>
  <c r="O28" i="3"/>
  <c r="O30" i="3" s="1"/>
  <c r="O31" i="3" s="1"/>
  <c r="P28" i="3"/>
  <c r="P30" i="3" s="1"/>
  <c r="Q28" i="3"/>
  <c r="Q30" i="3" s="1"/>
  <c r="R28" i="3"/>
  <c r="R30" i="3" s="1"/>
  <c r="S28" i="3"/>
  <c r="S30" i="3" s="1"/>
  <c r="T28" i="3"/>
  <c r="T30" i="3" s="1"/>
  <c r="U28" i="3"/>
  <c r="U30" i="3" s="1"/>
  <c r="R24" i="3"/>
  <c r="O29" i="3"/>
  <c r="N29" i="3"/>
  <c r="M29" i="3"/>
  <c r="L29" i="3"/>
  <c r="K29" i="3"/>
  <c r="J29" i="3"/>
  <c r="I29" i="3"/>
  <c r="H29" i="3"/>
  <c r="G29" i="3"/>
  <c r="F28" i="3"/>
  <c r="E28" i="3"/>
  <c r="D28" i="3"/>
  <c r="D30" i="3" s="1"/>
  <c r="C28" i="3"/>
  <c r="B28" i="3"/>
  <c r="C18" i="3"/>
  <c r="D18" i="3"/>
  <c r="E18" i="3"/>
  <c r="F18" i="3"/>
  <c r="G18" i="3"/>
  <c r="H18" i="3"/>
  <c r="O18" i="3"/>
  <c r="P18" i="3"/>
  <c r="Q18" i="3"/>
  <c r="R18" i="3"/>
  <c r="S18" i="3"/>
  <c r="T18" i="3"/>
  <c r="U18" i="3"/>
  <c r="B18" i="3"/>
  <c r="U17" i="3"/>
  <c r="C17" i="3"/>
  <c r="J17" i="3"/>
  <c r="K17" i="3"/>
  <c r="L17" i="3"/>
  <c r="M17" i="3"/>
  <c r="N17" i="3"/>
  <c r="O17" i="3"/>
  <c r="P17" i="3"/>
  <c r="Q17" i="3"/>
  <c r="R17" i="3"/>
  <c r="S17" i="3"/>
  <c r="R9" i="3"/>
  <c r="F29" i="3" s="1"/>
  <c r="H3" i="1"/>
  <c r="C16" i="3"/>
  <c r="D16" i="3"/>
  <c r="E16" i="3"/>
  <c r="F16" i="3"/>
  <c r="G16" i="3"/>
  <c r="H16" i="3"/>
  <c r="I16" i="3"/>
  <c r="I18" i="3" s="1"/>
  <c r="J16" i="3"/>
  <c r="J18" i="3" s="1"/>
  <c r="K16" i="3"/>
  <c r="K18" i="3" s="1"/>
  <c r="L16" i="3"/>
  <c r="L18" i="3" s="1"/>
  <c r="M16" i="3"/>
  <c r="M18" i="3" s="1"/>
  <c r="N16" i="3"/>
  <c r="N18" i="3" s="1"/>
  <c r="O16" i="3"/>
  <c r="P16" i="3"/>
  <c r="Q16" i="3"/>
  <c r="R16" i="3"/>
  <c r="S16" i="3"/>
  <c r="T16" i="3"/>
  <c r="U16" i="3"/>
  <c r="B16" i="3"/>
  <c r="H9" i="3"/>
  <c r="D12" i="3" s="1"/>
  <c r="D81" i="3" l="1"/>
  <c r="D84" i="3" s="1"/>
  <c r="E79" i="3"/>
  <c r="T78" i="3"/>
  <c r="T79" i="3" s="1"/>
  <c r="R78" i="3"/>
  <c r="R79" i="3" s="1"/>
  <c r="N78" i="3"/>
  <c r="N79" i="3" s="1"/>
  <c r="AE78" i="3"/>
  <c r="AE79" i="3" s="1"/>
  <c r="Q78" i="3"/>
  <c r="Q79" i="3" s="1"/>
  <c r="O78" i="3"/>
  <c r="O79" i="3" s="1"/>
  <c r="AF78" i="3"/>
  <c r="AF79" i="3" s="1"/>
  <c r="AD78" i="3"/>
  <c r="AD79" i="3" s="1"/>
  <c r="P78" i="3"/>
  <c r="P79" i="3" s="1"/>
  <c r="M78" i="3"/>
  <c r="M79" i="3" s="1"/>
  <c r="AC78" i="3"/>
  <c r="AC79" i="3" s="1"/>
  <c r="AB78" i="3"/>
  <c r="AB79" i="3" s="1"/>
  <c r="X78" i="3"/>
  <c r="X79" i="3" s="1"/>
  <c r="W78" i="3"/>
  <c r="W79" i="3" s="1"/>
  <c r="V78" i="3"/>
  <c r="V79" i="3" s="1"/>
  <c r="AE59" i="3"/>
  <c r="O59" i="3"/>
  <c r="L60" i="3" s="1"/>
  <c r="I31" i="3"/>
  <c r="K31" i="3"/>
  <c r="H17" i="3"/>
  <c r="H19" i="3" s="1"/>
  <c r="B29" i="3"/>
  <c r="R29" i="3"/>
  <c r="R31" i="3" s="1"/>
  <c r="L31" i="3"/>
  <c r="I17" i="3"/>
  <c r="I19" i="3" s="1"/>
  <c r="Q29" i="3"/>
  <c r="Q31" i="3" s="1"/>
  <c r="G17" i="3"/>
  <c r="G19" i="3" s="1"/>
  <c r="C29" i="3"/>
  <c r="C31" i="3" s="1"/>
  <c r="S29" i="3"/>
  <c r="S31" i="3" s="1"/>
  <c r="F19" i="3"/>
  <c r="U19" i="3"/>
  <c r="F17" i="3"/>
  <c r="D29" i="3"/>
  <c r="T29" i="3"/>
  <c r="C19" i="3"/>
  <c r="P29" i="3"/>
  <c r="P31" i="3" s="1"/>
  <c r="B17" i="3"/>
  <c r="E29" i="3"/>
  <c r="E17" i="3"/>
  <c r="E19" i="3" s="1"/>
  <c r="T17" i="3"/>
  <c r="T19" i="3" s="1"/>
  <c r="D17" i="3"/>
  <c r="D19" i="3" s="1"/>
  <c r="K24" i="3"/>
  <c r="K25" i="3" s="1"/>
  <c r="C43" i="3" s="1"/>
  <c r="H31" i="3"/>
  <c r="M31" i="3"/>
  <c r="B31" i="3"/>
  <c r="D31" i="3"/>
  <c r="G31" i="3"/>
  <c r="E31" i="3"/>
  <c r="U31" i="3"/>
  <c r="F31" i="3"/>
  <c r="T31" i="3"/>
  <c r="S19" i="3"/>
  <c r="M19" i="3"/>
  <c r="L19" i="3"/>
  <c r="K19" i="3"/>
  <c r="J19" i="3"/>
  <c r="N19" i="3"/>
  <c r="O19" i="3"/>
  <c r="R19" i="3"/>
  <c r="P19" i="3"/>
  <c r="Q19" i="3"/>
  <c r="B19" i="3"/>
  <c r="C12" i="3"/>
  <c r="D27" i="1"/>
  <c r="C6" i="1"/>
  <c r="G79" i="2"/>
  <c r="C74" i="2"/>
  <c r="L80" i="3" l="1"/>
  <c r="E81" i="3"/>
  <c r="E84" i="3" s="1"/>
  <c r="F79" i="3"/>
  <c r="C45" i="3"/>
  <c r="C46" i="3"/>
  <c r="C51" i="3" s="1"/>
  <c r="A32" i="3"/>
  <c r="C33" i="3" s="1"/>
  <c r="A20" i="3"/>
  <c r="C21" i="3" s="1"/>
  <c r="M78" i="2"/>
  <c r="G78" i="2"/>
  <c r="D74" i="2"/>
  <c r="E74" i="2"/>
  <c r="F74" i="2"/>
  <c r="G74" i="2"/>
  <c r="H74" i="2"/>
  <c r="I74" i="2"/>
  <c r="J74" i="2"/>
  <c r="K74" i="2"/>
  <c r="L74" i="2"/>
  <c r="M74" i="2"/>
  <c r="N74" i="2"/>
  <c r="O74" i="2"/>
  <c r="P74" i="2"/>
  <c r="Q74" i="2"/>
  <c r="R74" i="2"/>
  <c r="S74" i="2"/>
  <c r="T74" i="2"/>
  <c r="U74" i="2"/>
  <c r="V74" i="2"/>
  <c r="V73" i="2"/>
  <c r="D73" i="2"/>
  <c r="E73" i="2"/>
  <c r="F73" i="2"/>
  <c r="F75" i="2" s="1"/>
  <c r="G73" i="2"/>
  <c r="H73" i="2"/>
  <c r="H75" i="2" s="1"/>
  <c r="I73" i="2"/>
  <c r="I75" i="2" s="1"/>
  <c r="J73" i="2"/>
  <c r="J75" i="2" s="1"/>
  <c r="K73" i="2"/>
  <c r="L73" i="2"/>
  <c r="L75" i="2" s="1"/>
  <c r="M73" i="2"/>
  <c r="M75" i="2" s="1"/>
  <c r="N73" i="2"/>
  <c r="O73" i="2"/>
  <c r="P73" i="2"/>
  <c r="Q73" i="2"/>
  <c r="R73" i="2"/>
  <c r="S73" i="2"/>
  <c r="T73" i="2"/>
  <c r="U73" i="2"/>
  <c r="E75" i="2"/>
  <c r="G75" i="2"/>
  <c r="N75" i="2"/>
  <c r="C73" i="2"/>
  <c r="G79" i="3" l="1"/>
  <c r="F81" i="3"/>
  <c r="F84" i="3" s="1"/>
  <c r="U75" i="2"/>
  <c r="K75" i="2"/>
  <c r="V75" i="2"/>
  <c r="O75" i="2"/>
  <c r="T75" i="2"/>
  <c r="D75" i="2"/>
  <c r="R75" i="2"/>
  <c r="S75" i="2"/>
  <c r="Q75" i="2"/>
  <c r="P75" i="2"/>
  <c r="C75" i="2"/>
  <c r="C54" i="2"/>
  <c r="C62" i="2"/>
  <c r="D51" i="2"/>
  <c r="D52" i="2" s="1"/>
  <c r="D53" i="2" s="1"/>
  <c r="D54" i="2" s="1"/>
  <c r="D55" i="2" s="1"/>
  <c r="D56" i="2" s="1"/>
  <c r="D57" i="2" s="1"/>
  <c r="D58" i="2" s="1"/>
  <c r="D59" i="2" s="1"/>
  <c r="D60" i="2" s="1"/>
  <c r="D61" i="2" s="1"/>
  <c r="D62" i="2" s="1"/>
  <c r="D63" i="2" s="1"/>
  <c r="D64" i="2" s="1"/>
  <c r="D65" i="2" s="1"/>
  <c r="D66" i="2" s="1"/>
  <c r="H79" i="3" l="1"/>
  <c r="H81" i="3" s="1"/>
  <c r="H84" i="3" s="1"/>
  <c r="G81" i="3"/>
  <c r="G84" i="3" s="1"/>
  <c r="B76" i="2"/>
  <c r="R56" i="1"/>
  <c r="R58" i="1" s="1"/>
  <c r="K43" i="1"/>
  <c r="P43" i="1" s="1"/>
  <c r="I42" i="1"/>
  <c r="I41" i="1"/>
  <c r="K41" i="1" s="1"/>
  <c r="D28" i="1"/>
  <c r="R3" i="1"/>
  <c r="K21" i="1" s="1"/>
  <c r="G22" i="1" s="1"/>
  <c r="D23" i="1" s="1"/>
  <c r="C74" i="1" l="1"/>
  <c r="H22" i="1"/>
  <c r="D6" i="1" l="1"/>
  <c r="B17" i="1" s="1"/>
  <c r="B18" i="1" l="1"/>
  <c r="C69" i="1"/>
  <c r="E25" i="1"/>
  <c r="D29" i="1"/>
  <c r="D63" i="1"/>
  <c r="D62" i="1" l="1"/>
  <c r="D64" i="1" s="1"/>
  <c r="E31" i="1"/>
  <c r="C70" i="1"/>
  <c r="C75" i="1" s="1"/>
  <c r="C71" i="1" l="1"/>
  <c r="C76" i="1" s="1"/>
  <c r="C77" i="1" s="1"/>
</calcChain>
</file>

<file path=xl/sharedStrings.xml><?xml version="1.0" encoding="utf-8"?>
<sst xmlns="http://schemas.openxmlformats.org/spreadsheetml/2006/main" count="263" uniqueCount="212">
  <si>
    <t>Example of Repo financing of an on-the-run Treasury Note.</t>
  </si>
  <si>
    <t>Today:</t>
  </si>
  <si>
    <t>September 2 2020 (Wednesday)</t>
  </si>
  <si>
    <t>Note:</t>
  </si>
  <si>
    <t>Price:</t>
  </si>
  <si>
    <t>99-1+</t>
  </si>
  <si>
    <t>99-2</t>
  </si>
  <si>
    <t>Bid</t>
  </si>
  <si>
    <t>Ask</t>
  </si>
  <si>
    <t>Acrued Interest:</t>
  </si>
  <si>
    <t>Dated Date:</t>
  </si>
  <si>
    <t>Next Coupon:</t>
  </si>
  <si>
    <t>Settlement:</t>
  </si>
  <si>
    <t>Semi-annual coupon (per 100 par):</t>
  </si>
  <si>
    <t>Cash Quotes:</t>
  </si>
  <si>
    <t>We put ourselves in the position of a hedge fund, and in this example we are going to purchase this note using repo financing.</t>
  </si>
  <si>
    <t xml:space="preserve">   As soon as we buy the note from the dealer we ``sell'' the note to a repo dealer with the agreement to buy it back at a specified future date plus interest.  The interest that we pay is the repo rate --applied daily on a 360-day basis.</t>
  </si>
  <si>
    <t xml:space="preserve">       In our first example we will assume that there is no haircut on Treasury repo collateral, so that we can finance the entire purchase amount using repo finance.</t>
  </si>
  <si>
    <t>Of course, effectively, this amounts to using the note as collateral for a loan.  The repo dealer has posession of the note so if we default the dealer can take full ownership of the note.  (Repo transactions supersede national bankruptcy laws.)</t>
  </si>
  <si>
    <t>We buy $100 million par value of this note, finance with repo and sell it in 2 months.</t>
  </si>
  <si>
    <t>We will ignore the need to mark the repo collateral to market every day, and assume that we roll over our repo every business day until maturity.  Repo over a weekend has 3 days of interest, and over a 3-day weekend, 4 days of interest.</t>
  </si>
  <si>
    <t>Par:</t>
  </si>
  <si>
    <t>Market Value:</t>
  </si>
  <si>
    <t>Repo:</t>
  </si>
  <si>
    <t>The repo rate (to borrow) is 12 basis points.</t>
  </si>
  <si>
    <t>We sell the position on November 2, 2020 (Monday), when the Note has quotes:</t>
  </si>
  <si>
    <t>98-31</t>
  </si>
  <si>
    <t>99-00</t>
  </si>
  <si>
    <t>Accrued Interest:</t>
  </si>
  <si>
    <t>So when we sell our position we receive:</t>
  </si>
  <si>
    <t xml:space="preserve"> (on the settlement date)</t>
  </si>
  <si>
    <t>So from holding the note for 2 months we have P&amp;L:</t>
  </si>
  <si>
    <t>Number of days:</t>
  </si>
  <si>
    <t>repo rate:</t>
  </si>
  <si>
    <t>Repo interest:</t>
  </si>
  <si>
    <t xml:space="preserve">    Financing costs:</t>
  </si>
  <si>
    <t>Trade P&amp;L:</t>
  </si>
  <si>
    <r>
      <t xml:space="preserve">Next, we consider the phenomenon </t>
    </r>
    <r>
      <rPr>
        <i/>
        <sz val="12"/>
        <color theme="1"/>
        <rFont val="Calibri"/>
        <family val="2"/>
        <scheme val="minor"/>
      </rPr>
      <t>trading on special in repo.</t>
    </r>
  </si>
  <si>
    <r>
      <t xml:space="preserve">This reflects the fact that there is a market to borrow and lend specific securities.  Most securities, most of the time, are considered </t>
    </r>
    <r>
      <rPr>
        <i/>
        <sz val="12"/>
        <color theme="1"/>
        <rFont val="Calibri"/>
        <family val="2"/>
        <scheme val="minor"/>
      </rPr>
      <t>general collateral</t>
    </r>
    <r>
      <rPr>
        <sz val="12"/>
        <color theme="1"/>
        <rFont val="Calibri"/>
        <family val="2"/>
        <scheme val="minor"/>
      </rPr>
      <t>.</t>
    </r>
  </si>
  <si>
    <t xml:space="preserve">  And these are eligible for repo transactions in the tri-party repo market.</t>
  </si>
  <si>
    <t>But at times the demand to borrow a security may arise and make the security special.</t>
  </si>
  <si>
    <t>An example is when 3Com spun off Palm, but retained ownership.  For example on March 2, 1999, 3Com had sold 23 million shares and retained 532 million shares of Palm (its subsidiary).</t>
  </si>
  <si>
    <t>3Com was to spin off its holdings of Palm entirely in 1 year.</t>
  </si>
  <si>
    <t>And the market price of of Palm was $99 per share, and 3Com $81, with a market cap of $28 million.</t>
  </si>
  <si>
    <t>This situation seems inconsistent with the absence of arbitrage.  The market says that Palm is worth:</t>
  </si>
  <si>
    <t xml:space="preserve"> -- almost 55 billion.</t>
  </si>
  <si>
    <t>and that 3Com is worth:</t>
  </si>
  <si>
    <t xml:space="preserve">  -- roughly 28 billion.</t>
  </si>
  <si>
    <t>Yet, the value of 3Com's Palm stock is:</t>
  </si>
  <si>
    <t xml:space="preserve">  which implies that the rest of 3Com is worth:</t>
  </si>
  <si>
    <t xml:space="preserve"> minus 25 billion dollars.</t>
  </si>
  <si>
    <t>So the strategy is obvious:  Buy 3Com and short Palm, and wait for convergence as the full spin off approaches.</t>
  </si>
  <si>
    <t>The demand to borrow Palm shares exceeded the supply, and Palm shares started trading special on repo.  It traded with negative rebate rates of 30%.  In 1999, the risk free rate was around 5%, so a trade that borrowed Palm shares, and sold them, and then deposited the</t>
  </si>
  <si>
    <t xml:space="preserve">     proceeds from the sale with the securities lender earned repo interest of </t>
  </si>
  <si>
    <t>This explains why the Palm shares we so valuable.  If you owned 1000 shares at $99 per share, you could lend them to a short seller and earn 30% on the cash that he gives you in exchange.</t>
  </si>
  <si>
    <t>This happens on a much smaller scale in Treasury markets as dealers come into the auction with large short positions (from the when-issued market), and they bid aggressively at the opening auction, often failing to cover their short exposure.</t>
  </si>
  <si>
    <t xml:space="preserve">  Thus, there is heightened demand to borrow the note to keep the short position open.</t>
  </si>
  <si>
    <t>This has 2 consequences:</t>
  </si>
  <si>
    <t>1. The note trades on special in repo</t>
  </si>
  <si>
    <t>2. The note's price reflects the value of expected future repo specialness, and appears to be too high.  This is the on-the-run premium.</t>
  </si>
  <si>
    <t>To continue with the above example, let's suppose that instead of being general collateral, the on-the-run 10-year note trades on special in repo for 200 basis points.  This means that the effective repo rate is:</t>
  </si>
  <si>
    <t>general collateral rate:</t>
  </si>
  <si>
    <t>--minus specialness</t>
  </si>
  <si>
    <t>= applied repo rate</t>
  </si>
  <si>
    <t>Let's look at the P&amp;L if the note is trading on special of 200 bps over the holding period:</t>
  </si>
  <si>
    <t>Holding the note:</t>
  </si>
  <si>
    <t>Financing ``cost'':</t>
  </si>
  <si>
    <t>Total Trade P&amp;L:</t>
  </si>
  <si>
    <t xml:space="preserve">  So you see that owning a security that trades on special in repo is valuable.</t>
  </si>
  <si>
    <t>Next, we consider haircuts in repo.</t>
  </si>
  <si>
    <t>Suppose that conditions in the repo market are such that there is a 2% haircut on US Treasuries.</t>
  </si>
  <si>
    <t>Original example with 2% haircut:</t>
  </si>
  <si>
    <t>Purchase Note:</t>
  </si>
  <si>
    <t>Tie-up Firm Capital:</t>
  </si>
  <si>
    <t>Our hedge fund has a 9% cost of capital on trades.</t>
  </si>
  <si>
    <t>Sell note:</t>
  </si>
  <si>
    <t>Cost of Capital:</t>
  </si>
  <si>
    <t xml:space="preserve">  Trade P&amp;L:</t>
  </si>
  <si>
    <t>Let's consider a new note auction.  For example, the 1 5/8 % August 2029 note.</t>
  </si>
  <si>
    <t>Here is the Treasury's announcement on completion of its auction:</t>
  </si>
  <si>
    <t>https://www.treasurydirect.gov/instit/annceresult/press/preanre/2019/R_20190807_1.pdf</t>
  </si>
  <si>
    <t xml:space="preserve">Announcement of auction: </t>
  </si>
  <si>
    <t>This announcement was made at 8:30 am on Wednesday, July 31, 2019.</t>
  </si>
  <si>
    <t>It announces that the US Treasury will conduct a sealed-bid single price auction on Wednesday August 7 at 1:00 pm Eastern time.</t>
  </si>
  <si>
    <t>The New York Federal Reserve Bank will serve as agent to conduct the auction on behalf of the Treasury.</t>
  </si>
  <si>
    <t>The Treasury announces that they are offering $27 billion of the new August 15, 2029 note.  Note the standard terms for 10-year Treasury notes.</t>
  </si>
  <si>
    <t>Bidders place sealed bids with the NYFed.  A bid may be non-competitive or competitive.  If it is non-competitive, it just specifies a par amount.  For example, I place a non-competitive bid through my TreasuryDirect account for $10,000 par.</t>
  </si>
  <si>
    <t>As you can see bids must be in increments of one-tenth of a basis point (0.001%).</t>
  </si>
  <si>
    <t>This outcome is consistent with the following bids:</t>
  </si>
  <si>
    <t xml:space="preserve">SOMA refers to the System Open Market Account at the US Federal Reserve.  </t>
  </si>
  <si>
    <t>The Treasury will allot the Fed whatever it wants at the final auction value, and this will increase the size of the issue.</t>
  </si>
  <si>
    <t>Par Amount</t>
  </si>
  <si>
    <t>Yield Bid</t>
  </si>
  <si>
    <t>1 billion</t>
  </si>
  <si>
    <t>1.2 billion</t>
  </si>
  <si>
    <t>0.9 billion</t>
  </si>
  <si>
    <t>0.3 billion</t>
  </si>
  <si>
    <t>0.0275 billion</t>
  </si>
  <si>
    <t>Noncompetitive</t>
  </si>
  <si>
    <t>2 billion</t>
  </si>
  <si>
    <t>5 billion</t>
  </si>
  <si>
    <t>2.2 billion</t>
  </si>
  <si>
    <t>7 billion</t>
  </si>
  <si>
    <t>3 billion</t>
  </si>
  <si>
    <t>1.1 billion</t>
  </si>
  <si>
    <t>0.6 billion</t>
  </si>
  <si>
    <t>1.4 billion</t>
  </si>
  <si>
    <t>2.8 billion</t>
  </si>
  <si>
    <t>4 billion</t>
  </si>
  <si>
    <t>2.6 billion</t>
  </si>
  <si>
    <t>1.5725 billion</t>
  </si>
  <si>
    <t>1.57 billion</t>
  </si>
  <si>
    <t>Total avaiable supply:</t>
  </si>
  <si>
    <t xml:space="preserve">Yield </t>
  </si>
  <si>
    <t>$ Amt (billions)</t>
  </si>
  <si>
    <t>So the NYFed's software will subtract the non-competitive bids from the supply, and then rank the bids from lowest to highest yield (combining all bids at the same yield):</t>
  </si>
  <si>
    <t>Running Total Demand</t>
  </si>
  <si>
    <t>6 billion</t>
  </si>
  <si>
    <t>4.5 billion</t>
  </si>
  <si>
    <t>&lt;---- This is where we have to stop to meet the supply.  So this will be the winning bid.  All buyers at the auction will make this yield.</t>
  </si>
  <si>
    <t>Auction allocation:</t>
  </si>
  <si>
    <t>Price setting:</t>
  </si>
  <si>
    <t xml:space="preserve">Treasury sets the coupon at 1/8% increments so that the note sells as close to par as possible -- from below.  </t>
  </si>
  <si>
    <t>This means that the coupon has to be less than or equal to the winning bid.  Nearest 1/8:</t>
  </si>
  <si>
    <t>T (Yrs):</t>
  </si>
  <si>
    <t>Cash Flow:</t>
  </si>
  <si>
    <t>df (@ytm):</t>
  </si>
  <si>
    <t>PV:</t>
  </si>
  <si>
    <t>Competitive bids specify a par amount and a (bond-equivalent) yield.  Notice that the new note's coupon rate is not set prior to the auction.  It well be set in increments of 1/8 of 1% at the highest level that makes the bond sell at par or lower.</t>
  </si>
  <si>
    <t>The Treasury sells roughly 27 billion par at this value, raising:</t>
  </si>
  <si>
    <t xml:space="preserve"> billion dollars from this auction.</t>
  </si>
  <si>
    <t>All noncompetitive bids are filled at the auction price.</t>
  </si>
  <si>
    <t>All competitive bids at yields less than 1.67% receive the full amount of the bid.</t>
  </si>
  <si>
    <t>All competitive bids at yields greater than 1.67% receive no notes.</t>
  </si>
  <si>
    <t>Bids at 1.67% are allocated on a pro-rata basis.  There are 8 billion par to buy and 4 billion available.  So the bids at this quote are filled at a rate of 1/2.</t>
  </si>
  <si>
    <t xml:space="preserve">   So, for example, the 3 billion bid at 1.67% receives 1.5 billion par value.</t>
  </si>
  <si>
    <t>Note that a single bidder (e.g., Morgan Stanley) may submit multiple bids, but may not receive more than 9.45 billion par at auction.  (This cap is to prevent collusion, or a bidding ring.)</t>
  </si>
  <si>
    <t>continuously compounded ytm:</t>
  </si>
  <si>
    <t>exp(y) = (1+r/2)^2</t>
  </si>
  <si>
    <t>==&gt; equivalent continuously compounded yield to maturity:</t>
  </si>
  <si>
    <t>(1+r/2)^2 =</t>
  </si>
  <si>
    <t>Treasury's price determination (note it is not precise):</t>
  </si>
  <si>
    <t>Note that at bid at a lower yield is more competitive, since this will net more money per bond than higher yield bids.</t>
  </si>
  <si>
    <t>In the preceding spreadsheet, we took a speculative position in the on-the-run note.  We use the repo market to finance the purchase, so as to avoid tying up valuable firm capital.</t>
  </si>
  <si>
    <t>We saw that when a security, such as the on-the-run note--is trading on special in repo it is cheaper to finance.  This means that it has value in addition to the present value of its future cash flows.</t>
  </si>
  <si>
    <t>Here, we look at a convergence trade, such as discussed by Long Term Capital Management--the first super hedge fund.</t>
  </si>
  <si>
    <t>The premise is that the on-the-run note tends to trade at a premium to other securities for a period following the originating auction.</t>
  </si>
  <si>
    <t>A convergence trade attempts to profit from the expected convergence of the on-the-run note to related securities.</t>
  </si>
  <si>
    <t>Date:</t>
  </si>
  <si>
    <t>ytm:</t>
  </si>
  <si>
    <t>(cc)</t>
  </si>
  <si>
    <t>Convergence Criterion:</t>
  </si>
  <si>
    <t>The ytm on this note (to a buyer) is 72.16 bps.</t>
  </si>
  <si>
    <t>The first off-the-run note:</t>
  </si>
  <si>
    <t>May 15 2030</t>
  </si>
  <si>
    <t>Bid:</t>
  </si>
  <si>
    <t>Ask:</t>
  </si>
  <si>
    <t>AI:</t>
  </si>
  <si>
    <t>Next Int:</t>
  </si>
  <si>
    <t>Semi-annual coupon:</t>
  </si>
  <si>
    <t>Cash buy:</t>
  </si>
  <si>
    <t>So we see the on-the-run premium.</t>
  </si>
  <si>
    <t>97-30+</t>
  </si>
  <si>
    <t>97-31+</t>
  </si>
  <si>
    <t>The yield to maturity on the on-the-run note is almost 12 basis points lower than the ytm on the first off the run note, despite their seimilarities.</t>
  </si>
  <si>
    <t>Let's consider a convergence trade where we short the on-the-run and go long the off-the-run.  Hold until the November note auction.</t>
  </si>
  <si>
    <t>We'll assume that the ytm on the 2 notes will be the same on 11/16/2020.</t>
  </si>
  <si>
    <t>First, we have to buy the May 2030 note.  Let's do his trade to a $50 million par value.</t>
  </si>
  <si>
    <t>Purchase May note:</t>
  </si>
  <si>
    <t>Par note:</t>
  </si>
  <si>
    <t>Conditions in repo:</t>
  </si>
  <si>
    <t>general collateral rate (ask):</t>
  </si>
  <si>
    <t>Haircut:</t>
  </si>
  <si>
    <t>Firm Capital:</t>
  </si>
  <si>
    <t xml:space="preserve">Firm cost of capital (cc): </t>
  </si>
  <si>
    <t>Financing:</t>
  </si>
  <si>
    <t xml:space="preserve">  Number of days:</t>
  </si>
  <si>
    <t>Close the position on 11/13/20 for settlement on:</t>
  </si>
  <si>
    <t>Cost of firm Cap:</t>
  </si>
  <si>
    <t>Receive coupon:</t>
  </si>
  <si>
    <t>Sell the May note:</t>
  </si>
  <si>
    <t>Last cpn:</t>
  </si>
  <si>
    <t>T:</t>
  </si>
  <si>
    <t>If the ccytm is:</t>
  </si>
  <si>
    <t>CF:</t>
  </si>
  <si>
    <t>Profit on Note:</t>
  </si>
  <si>
    <t>Coupon:</t>
  </si>
  <si>
    <t>-Financing Cost:</t>
  </si>
  <si>
    <t>Profit on Long side:</t>
  </si>
  <si>
    <t>Sell the O-the-run note short.</t>
  </si>
  <si>
    <t>Proceeds from short sale:</t>
  </si>
  <si>
    <t>Place cash proceeds with repo dealer as loan collateral (You are lending this cash -- the securities lender uses the note as collateral for this loan).</t>
  </si>
  <si>
    <t>Specialness:</t>
  </si>
  <si>
    <t>180 bps</t>
  </si>
  <si>
    <t>Earn on cash collateral:</t>
  </si>
  <si>
    <t>Remember that when we compute a note's value using the ytm, this is the cash value.</t>
  </si>
  <si>
    <t>Repo Interest:</t>
  </si>
  <si>
    <t>Purchase the August 2030 note:</t>
  </si>
  <si>
    <t>Cost of Firm Capital:</t>
  </si>
  <si>
    <t>Profit on Short Side:</t>
  </si>
  <si>
    <t>Net Profit:</t>
  </si>
  <si>
    <t>We'll naively use the same par for both positions.  In a few weeks we'll have a better strategy to hedge interest rate risk.</t>
  </si>
  <si>
    <t>Tick to accommodate bid-ask spread:</t>
  </si>
  <si>
    <t>YTM for buyer:</t>
  </si>
  <si>
    <t>Sensitivity Checks:</t>
  </si>
  <si>
    <t>1) Transactions costs: A 1-tick spread does not destroy profitability.</t>
  </si>
  <si>
    <t>2) Partial Covergence</t>
  </si>
  <si>
    <t>12 bps to 6 bps</t>
  </si>
  <si>
    <t xml:space="preserve"> (and partial convergence)</t>
  </si>
  <si>
    <t xml:space="preserve">  We are sill profitable in all cases, but reduced.</t>
  </si>
  <si>
    <t xml:space="preserve">  The security lender requires that we post the full cash received from selling the security plus the haircut in our repo account.</t>
  </si>
  <si>
    <t xml:space="preserve">    This ``margin account'' would be makrked to market on a dally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</si>
</sst>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
    <numFmt numFmtId="166" formatCode="0.000000"/>
    <numFmt numFmtId="167" formatCode="0.0000000000000000"/>
    <numFmt numFmtId="168" formatCode="_(* #,##0_);_(* \(#,##0\);_(* &quot;-&quot;??_);_(@_)"/>
    <numFmt numFmtId="169" formatCode="#,##0.000000_);\(#,##0.000000\)"/>
  </numFmts>
  <fonts count="6" x14ac:knownFonts="1">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
      <sz val="12"/>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7">
    <xf numFmtId="0" fontId="0" fillId="0" borderId="0" xfId="0"/>
    <xf numFmtId="14" fontId="0" fillId="0" borderId="0" xfId="0" applyNumberFormat="1"/>
    <xf numFmtId="164" fontId="0" fillId="0" borderId="0" xfId="0" applyNumberFormat="1"/>
    <xf numFmtId="4" fontId="0" fillId="0" borderId="0" xfId="0" applyNumberFormat="1"/>
    <xf numFmtId="165" fontId="0" fillId="0" borderId="0" xfId="0" applyNumberFormat="1"/>
    <xf numFmtId="0" fontId="0" fillId="0" borderId="0" xfId="0" quotePrefix="1"/>
    <xf numFmtId="4" fontId="1" fillId="0" borderId="0" xfId="0" applyNumberFormat="1" applyFont="1"/>
    <xf numFmtId="0" fontId="3" fillId="0" borderId="0" xfId="1"/>
    <xf numFmtId="166" fontId="1" fillId="0" borderId="0" xfId="0" applyNumberFormat="1" applyFont="1"/>
    <xf numFmtId="3" fontId="0" fillId="0" borderId="0" xfId="0" applyNumberFormat="1"/>
    <xf numFmtId="0" fontId="5" fillId="2" borderId="0" xfId="0" applyFont="1" applyFill="1"/>
    <xf numFmtId="167" fontId="0" fillId="0" borderId="0" xfId="0" applyNumberFormat="1"/>
    <xf numFmtId="168" fontId="0" fillId="0" borderId="0" xfId="2" applyNumberFormat="1" applyFont="1"/>
    <xf numFmtId="168" fontId="0" fillId="0" borderId="0" xfId="0" applyNumberFormat="1"/>
    <xf numFmtId="43" fontId="0" fillId="0" borderId="0" xfId="0" applyNumberFormat="1"/>
    <xf numFmtId="169" fontId="0" fillId="0" borderId="0" xfId="0" applyNumberFormat="1"/>
    <xf numFmtId="0" fontId="1" fillId="0" borderId="0" xfId="0" applyFont="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easurydirect.gov/instit/annceresult/press/preanre/2019/A_20190731_3.pdf" TargetMode="External"/><Relationship Id="rId1" Type="http://schemas.openxmlformats.org/officeDocument/2006/relationships/hyperlink" Target="https://www.treasurydirect.gov/instit/annceresult/press/preanre/2019/R_20190807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0CD2-C307-6347-9352-F12FF33AAE0E}">
  <dimension ref="A1:V88"/>
  <sheetViews>
    <sheetView zoomScale="140" zoomScaleNormal="140" workbookViewId="0">
      <selection activeCell="B72" sqref="B72:V76"/>
    </sheetView>
  </sheetViews>
  <sheetFormatPr baseColWidth="10" defaultRowHeight="16" x14ac:dyDescent="0.2"/>
  <cols>
    <col min="2" max="2" width="12.6640625" customWidth="1"/>
    <col min="3" max="3" width="13.6640625" customWidth="1"/>
  </cols>
  <sheetData>
    <row r="1" spans="1:11" x14ac:dyDescent="0.2">
      <c r="A1" t="s">
        <v>78</v>
      </c>
      <c r="H1" s="7" t="s">
        <v>81</v>
      </c>
      <c r="K1" t="s">
        <v>82</v>
      </c>
    </row>
    <row r="2" spans="1:11" x14ac:dyDescent="0.2">
      <c r="B2" t="s">
        <v>83</v>
      </c>
      <c r="H2" s="7"/>
    </row>
    <row r="3" spans="1:11" x14ac:dyDescent="0.2">
      <c r="B3" t="s">
        <v>84</v>
      </c>
      <c r="H3" s="7"/>
    </row>
    <row r="4" spans="1:11" x14ac:dyDescent="0.2">
      <c r="B4" t="s">
        <v>85</v>
      </c>
      <c r="H4" s="7"/>
    </row>
    <row r="5" spans="1:11" x14ac:dyDescent="0.2">
      <c r="H5" s="7"/>
    </row>
    <row r="6" spans="1:11" x14ac:dyDescent="0.2">
      <c r="A6" t="s">
        <v>86</v>
      </c>
      <c r="H6" s="7"/>
    </row>
    <row r="7" spans="1:11" x14ac:dyDescent="0.2">
      <c r="A7" t="s">
        <v>128</v>
      </c>
      <c r="H7" s="7"/>
    </row>
    <row r="8" spans="1:11" x14ac:dyDescent="0.2">
      <c r="H8" s="7"/>
    </row>
    <row r="9" spans="1:11" x14ac:dyDescent="0.2">
      <c r="A9" t="s">
        <v>142</v>
      </c>
      <c r="H9" s="7"/>
    </row>
    <row r="10" spans="1:11" x14ac:dyDescent="0.2">
      <c r="A10" t="s">
        <v>87</v>
      </c>
      <c r="H10" s="7"/>
    </row>
    <row r="11" spans="1:11" x14ac:dyDescent="0.2">
      <c r="H11" s="7"/>
    </row>
    <row r="12" spans="1:11" x14ac:dyDescent="0.2">
      <c r="A12" t="s">
        <v>89</v>
      </c>
      <c r="H12" t="s">
        <v>90</v>
      </c>
    </row>
    <row r="14" spans="1:11" x14ac:dyDescent="0.2">
      <c r="A14" t="s">
        <v>79</v>
      </c>
    </row>
    <row r="15" spans="1:11" x14ac:dyDescent="0.2">
      <c r="A15" s="7" t="s">
        <v>80</v>
      </c>
    </row>
    <row r="17" spans="1:3" x14ac:dyDescent="0.2">
      <c r="A17" t="s">
        <v>88</v>
      </c>
    </row>
    <row r="19" spans="1:3" x14ac:dyDescent="0.2">
      <c r="B19" t="s">
        <v>91</v>
      </c>
      <c r="C19" t="s">
        <v>92</v>
      </c>
    </row>
    <row r="20" spans="1:3" x14ac:dyDescent="0.2">
      <c r="B20" t="s">
        <v>97</v>
      </c>
      <c r="C20" t="s">
        <v>98</v>
      </c>
    </row>
    <row r="21" spans="1:3" x14ac:dyDescent="0.2">
      <c r="B21" t="s">
        <v>111</v>
      </c>
      <c r="C21" s="2">
        <v>1.6250000000000001E-2</v>
      </c>
    </row>
    <row r="22" spans="1:3" x14ac:dyDescent="0.2">
      <c r="B22" t="s">
        <v>104</v>
      </c>
      <c r="C22" s="2">
        <v>1.6049999999999998E-2</v>
      </c>
    </row>
    <row r="23" spans="1:3" x14ac:dyDescent="0.2">
      <c r="B23" t="s">
        <v>93</v>
      </c>
      <c r="C23" s="2">
        <v>1.67E-2</v>
      </c>
    </row>
    <row r="24" spans="1:3" x14ac:dyDescent="0.2">
      <c r="B24" t="s">
        <v>109</v>
      </c>
      <c r="C24" s="2">
        <v>1.6400000000000001E-2</v>
      </c>
    </row>
    <row r="25" spans="1:3" x14ac:dyDescent="0.2">
      <c r="B25" t="s">
        <v>108</v>
      </c>
      <c r="C25" s="2">
        <v>1.7999999999999999E-2</v>
      </c>
    </row>
    <row r="26" spans="1:3" x14ac:dyDescent="0.2">
      <c r="B26" t="s">
        <v>109</v>
      </c>
      <c r="C26" s="2">
        <v>1.575E-2</v>
      </c>
    </row>
    <row r="27" spans="1:3" x14ac:dyDescent="0.2">
      <c r="B27" t="s">
        <v>99</v>
      </c>
      <c r="C27" s="2">
        <v>1.67E-2</v>
      </c>
    </row>
    <row r="28" spans="1:3" x14ac:dyDescent="0.2">
      <c r="B28" t="s">
        <v>107</v>
      </c>
      <c r="C28" s="2">
        <v>1.6299999999999999E-2</v>
      </c>
    </row>
    <row r="29" spans="1:3" x14ac:dyDescent="0.2">
      <c r="B29" t="s">
        <v>106</v>
      </c>
      <c r="C29" s="2">
        <v>1.5800000000000002E-2</v>
      </c>
    </row>
    <row r="30" spans="1:3" x14ac:dyDescent="0.2">
      <c r="B30" t="s">
        <v>105</v>
      </c>
      <c r="C30" s="2">
        <v>1.5900000000000001E-2</v>
      </c>
    </row>
    <row r="31" spans="1:3" x14ac:dyDescent="0.2">
      <c r="B31" t="s">
        <v>93</v>
      </c>
      <c r="C31" s="2">
        <v>1.5100000000000001E-2</v>
      </c>
    </row>
    <row r="32" spans="1:3" x14ac:dyDescent="0.2">
      <c r="B32" t="s">
        <v>94</v>
      </c>
      <c r="C32" s="2">
        <v>1.7649999999999999E-2</v>
      </c>
    </row>
    <row r="33" spans="1:3" x14ac:dyDescent="0.2">
      <c r="B33" t="s">
        <v>95</v>
      </c>
      <c r="C33" s="2">
        <v>1.6E-2</v>
      </c>
    </row>
    <row r="34" spans="1:3" x14ac:dyDescent="0.2">
      <c r="B34" t="s">
        <v>96</v>
      </c>
      <c r="C34" s="2">
        <v>1.55E-2</v>
      </c>
    </row>
    <row r="35" spans="1:3" x14ac:dyDescent="0.2">
      <c r="B35" t="s">
        <v>99</v>
      </c>
      <c r="C35" s="2">
        <v>1.67E-2</v>
      </c>
    </row>
    <row r="36" spans="1:3" x14ac:dyDescent="0.2">
      <c r="B36" t="s">
        <v>93</v>
      </c>
      <c r="C36" s="2">
        <v>1.6E-2</v>
      </c>
    </row>
    <row r="37" spans="1:3" x14ac:dyDescent="0.2">
      <c r="B37" t="s">
        <v>100</v>
      </c>
      <c r="C37" s="2">
        <v>1.8599999999999998E-2</v>
      </c>
    </row>
    <row r="38" spans="1:3" x14ac:dyDescent="0.2">
      <c r="B38" t="s">
        <v>110</v>
      </c>
      <c r="C38" s="2">
        <v>1.5800000000000002E-2</v>
      </c>
    </row>
    <row r="39" spans="1:3" x14ac:dyDescent="0.2">
      <c r="B39" t="s">
        <v>102</v>
      </c>
      <c r="C39" s="2">
        <v>1.72E-2</v>
      </c>
    </row>
    <row r="40" spans="1:3" x14ac:dyDescent="0.2">
      <c r="B40" t="s">
        <v>103</v>
      </c>
      <c r="C40" s="2">
        <v>1.67E-2</v>
      </c>
    </row>
    <row r="41" spans="1:3" x14ac:dyDescent="0.2">
      <c r="B41" t="s">
        <v>117</v>
      </c>
      <c r="C41" s="2">
        <v>1.7999999999999999E-2</v>
      </c>
    </row>
    <row r="42" spans="1:3" x14ac:dyDescent="0.2">
      <c r="B42" t="s">
        <v>101</v>
      </c>
      <c r="C42" s="2">
        <v>1.61E-2</v>
      </c>
    </row>
    <row r="43" spans="1:3" x14ac:dyDescent="0.2">
      <c r="B43" t="s">
        <v>118</v>
      </c>
      <c r="C43" s="2">
        <v>1.7649999999999999E-2</v>
      </c>
    </row>
    <row r="44" spans="1:3" x14ac:dyDescent="0.2">
      <c r="B44" t="s">
        <v>104</v>
      </c>
      <c r="C44" s="2">
        <v>1.5800000000000002E-2</v>
      </c>
    </row>
    <row r="45" spans="1:3" x14ac:dyDescent="0.2">
      <c r="B45" t="s">
        <v>101</v>
      </c>
      <c r="C45" s="2">
        <v>1.55E-2</v>
      </c>
    </row>
    <row r="48" spans="1:3" x14ac:dyDescent="0.2">
      <c r="A48" t="s">
        <v>115</v>
      </c>
    </row>
    <row r="49" spans="1:5" x14ac:dyDescent="0.2">
      <c r="A49" t="s">
        <v>112</v>
      </c>
      <c r="D49">
        <v>27</v>
      </c>
    </row>
    <row r="50" spans="1:5" x14ac:dyDescent="0.2">
      <c r="B50" t="s">
        <v>113</v>
      </c>
      <c r="C50" t="s">
        <v>114</v>
      </c>
      <c r="D50" t="s">
        <v>116</v>
      </c>
    </row>
    <row r="51" spans="1:5" x14ac:dyDescent="0.2">
      <c r="B51" s="2">
        <v>1.5100000000000001E-2</v>
      </c>
      <c r="C51">
        <v>1</v>
      </c>
      <c r="D51">
        <f>C51</f>
        <v>1</v>
      </c>
    </row>
    <row r="52" spans="1:5" x14ac:dyDescent="0.2">
      <c r="B52" s="2">
        <v>1.55E-2</v>
      </c>
      <c r="C52">
        <v>2.5</v>
      </c>
      <c r="D52">
        <f>D51+C52</f>
        <v>3.5</v>
      </c>
    </row>
    <row r="53" spans="1:5" x14ac:dyDescent="0.2">
      <c r="B53" s="2">
        <v>1.575E-2</v>
      </c>
      <c r="C53">
        <v>2.6</v>
      </c>
      <c r="D53">
        <f t="shared" ref="D53:D66" si="0">D52+C53</f>
        <v>6.1</v>
      </c>
    </row>
    <row r="54" spans="1:5" x14ac:dyDescent="0.2">
      <c r="B54" s="2">
        <v>1.5800000000000002E-2</v>
      </c>
      <c r="C54">
        <f>1.1+1.5725+1.4</f>
        <v>4.0724999999999998</v>
      </c>
      <c r="D54">
        <f t="shared" si="0"/>
        <v>10.172499999999999</v>
      </c>
    </row>
    <row r="55" spans="1:5" x14ac:dyDescent="0.2">
      <c r="B55" s="2">
        <v>1.5900000000000001E-2</v>
      </c>
      <c r="C55">
        <v>0.6</v>
      </c>
      <c r="D55">
        <f t="shared" si="0"/>
        <v>10.772499999999999</v>
      </c>
    </row>
    <row r="56" spans="1:5" x14ac:dyDescent="0.2">
      <c r="B56" s="2">
        <v>1.6E-2</v>
      </c>
      <c r="C56">
        <v>1.9</v>
      </c>
      <c r="D56">
        <f t="shared" si="0"/>
        <v>12.672499999999999</v>
      </c>
    </row>
    <row r="57" spans="1:5" x14ac:dyDescent="0.2">
      <c r="B57" s="2">
        <v>1.6049999999999998E-2</v>
      </c>
      <c r="C57">
        <v>1.1000000000000001</v>
      </c>
      <c r="D57">
        <f t="shared" si="0"/>
        <v>13.772499999999999</v>
      </c>
    </row>
    <row r="58" spans="1:5" x14ac:dyDescent="0.2">
      <c r="B58" s="2">
        <v>1.61E-2</v>
      </c>
      <c r="C58">
        <v>2.2000000000000002</v>
      </c>
      <c r="D58">
        <f t="shared" si="0"/>
        <v>15.9725</v>
      </c>
    </row>
    <row r="59" spans="1:5" x14ac:dyDescent="0.2">
      <c r="B59" s="2">
        <v>1.6250000000000001E-2</v>
      </c>
      <c r="C59">
        <v>1.57</v>
      </c>
      <c r="D59">
        <f t="shared" si="0"/>
        <v>17.5425</v>
      </c>
    </row>
    <row r="60" spans="1:5" x14ac:dyDescent="0.2">
      <c r="B60" s="2">
        <v>1.6299999999999999E-2</v>
      </c>
      <c r="C60">
        <v>2.8</v>
      </c>
      <c r="D60">
        <f t="shared" si="0"/>
        <v>20.342500000000001</v>
      </c>
    </row>
    <row r="61" spans="1:5" x14ac:dyDescent="0.2">
      <c r="B61" s="2">
        <v>1.6400000000000001E-2</v>
      </c>
      <c r="C61">
        <v>2.6</v>
      </c>
      <c r="D61">
        <f t="shared" si="0"/>
        <v>22.942500000000003</v>
      </c>
    </row>
    <row r="62" spans="1:5" x14ac:dyDescent="0.2">
      <c r="B62" s="2">
        <v>1.67E-2</v>
      </c>
      <c r="C62">
        <f>1+2+2+3</f>
        <v>8</v>
      </c>
      <c r="D62">
        <f t="shared" si="0"/>
        <v>30.942500000000003</v>
      </c>
      <c r="E62" s="5" t="s">
        <v>119</v>
      </c>
    </row>
    <row r="63" spans="1:5" x14ac:dyDescent="0.2">
      <c r="B63" s="2">
        <v>1.72E-2</v>
      </c>
      <c r="C63">
        <v>7</v>
      </c>
      <c r="D63">
        <f t="shared" si="0"/>
        <v>37.942500000000003</v>
      </c>
    </row>
    <row r="64" spans="1:5" x14ac:dyDescent="0.2">
      <c r="B64" s="2">
        <v>1.7649999999999999E-2</v>
      </c>
      <c r="C64">
        <v>5.7</v>
      </c>
      <c r="D64">
        <f t="shared" si="0"/>
        <v>43.642500000000005</v>
      </c>
    </row>
    <row r="65" spans="1:22" x14ac:dyDescent="0.2">
      <c r="B65" s="2">
        <v>1.7999999999999999E-2</v>
      </c>
      <c r="C65">
        <v>10</v>
      </c>
      <c r="D65">
        <f t="shared" si="0"/>
        <v>53.642500000000005</v>
      </c>
    </row>
    <row r="66" spans="1:22" x14ac:dyDescent="0.2">
      <c r="B66" s="2">
        <v>1.8599999999999998E-2</v>
      </c>
      <c r="C66">
        <v>5</v>
      </c>
      <c r="D66">
        <f t="shared" si="0"/>
        <v>58.642500000000005</v>
      </c>
    </row>
    <row r="68" spans="1:22" x14ac:dyDescent="0.2">
      <c r="B68" t="s">
        <v>121</v>
      </c>
      <c r="C68" t="s">
        <v>122</v>
      </c>
    </row>
    <row r="69" spans="1:22" x14ac:dyDescent="0.2">
      <c r="C69" t="s">
        <v>123</v>
      </c>
      <c r="J69" s="2">
        <v>1.6250000000000001E-2</v>
      </c>
    </row>
    <row r="71" spans="1:22" x14ac:dyDescent="0.2">
      <c r="A71" t="s">
        <v>141</v>
      </c>
    </row>
    <row r="72" spans="1:22" x14ac:dyDescent="0.2">
      <c r="B72" t="s">
        <v>124</v>
      </c>
      <c r="C72">
        <v>0.5</v>
      </c>
      <c r="D72">
        <v>1</v>
      </c>
      <c r="E72">
        <v>1.5</v>
      </c>
      <c r="F72">
        <v>2</v>
      </c>
      <c r="G72">
        <v>2.5</v>
      </c>
      <c r="H72">
        <v>3</v>
      </c>
      <c r="I72">
        <v>3.5</v>
      </c>
      <c r="J72">
        <v>4</v>
      </c>
      <c r="K72">
        <v>4.5</v>
      </c>
      <c r="L72">
        <v>5</v>
      </c>
      <c r="M72">
        <v>5.5</v>
      </c>
      <c r="N72">
        <v>6</v>
      </c>
      <c r="O72">
        <v>6.5</v>
      </c>
      <c r="P72">
        <v>7</v>
      </c>
      <c r="Q72">
        <v>7.5</v>
      </c>
      <c r="R72">
        <v>8</v>
      </c>
      <c r="S72">
        <v>8.5</v>
      </c>
      <c r="T72">
        <v>9</v>
      </c>
      <c r="U72">
        <v>9.5</v>
      </c>
      <c r="V72">
        <v>10</v>
      </c>
    </row>
    <row r="73" spans="1:22" x14ac:dyDescent="0.2">
      <c r="B73" t="s">
        <v>125</v>
      </c>
      <c r="C73">
        <f>50*$J$69</f>
        <v>0.8125</v>
      </c>
      <c r="D73">
        <f t="shared" ref="D73:U73" si="1">50*$J$69</f>
        <v>0.8125</v>
      </c>
      <c r="E73">
        <f t="shared" si="1"/>
        <v>0.8125</v>
      </c>
      <c r="F73">
        <f t="shared" si="1"/>
        <v>0.8125</v>
      </c>
      <c r="G73">
        <f t="shared" si="1"/>
        <v>0.8125</v>
      </c>
      <c r="H73">
        <f t="shared" si="1"/>
        <v>0.8125</v>
      </c>
      <c r="I73">
        <f t="shared" si="1"/>
        <v>0.8125</v>
      </c>
      <c r="J73">
        <f t="shared" si="1"/>
        <v>0.8125</v>
      </c>
      <c r="K73">
        <f t="shared" si="1"/>
        <v>0.8125</v>
      </c>
      <c r="L73">
        <f t="shared" si="1"/>
        <v>0.8125</v>
      </c>
      <c r="M73">
        <f t="shared" si="1"/>
        <v>0.8125</v>
      </c>
      <c r="N73">
        <f t="shared" si="1"/>
        <v>0.8125</v>
      </c>
      <c r="O73">
        <f t="shared" si="1"/>
        <v>0.8125</v>
      </c>
      <c r="P73">
        <f t="shared" si="1"/>
        <v>0.8125</v>
      </c>
      <c r="Q73">
        <f t="shared" si="1"/>
        <v>0.8125</v>
      </c>
      <c r="R73">
        <f t="shared" si="1"/>
        <v>0.8125</v>
      </c>
      <c r="S73">
        <f t="shared" si="1"/>
        <v>0.8125</v>
      </c>
      <c r="T73">
        <f t="shared" si="1"/>
        <v>0.8125</v>
      </c>
      <c r="U73">
        <f t="shared" si="1"/>
        <v>0.8125</v>
      </c>
      <c r="V73">
        <f>100*(1+0.5*$J$69)</f>
        <v>100.8125</v>
      </c>
    </row>
    <row r="74" spans="1:22" x14ac:dyDescent="0.2">
      <c r="B74" t="s">
        <v>126</v>
      </c>
      <c r="C74">
        <f>1/(1+$B$62/2)^(2*C72)</f>
        <v>0.99171914513809678</v>
      </c>
      <c r="D74">
        <f t="shared" ref="D74:V74" si="2">1/(1+$B$62/2)^(2*D72)</f>
        <v>0.98350686283343758</v>
      </c>
      <c r="E74">
        <f t="shared" si="2"/>
        <v>0.97536258524662811</v>
      </c>
      <c r="F74">
        <f t="shared" si="2"/>
        <v>0.96728574924047028</v>
      </c>
      <c r="G74">
        <f t="shared" si="2"/>
        <v>0.95927579634102267</v>
      </c>
      <c r="H74">
        <f t="shared" si="2"/>
        <v>0.95133217269898607</v>
      </c>
      <c r="I74">
        <f t="shared" si="2"/>
        <v>0.94345432905140669</v>
      </c>
      <c r="J74">
        <f t="shared" si="2"/>
        <v>0.93564172068369789</v>
      </c>
      <c r="K74">
        <f t="shared" si="2"/>
        <v>0.92789380739197491</v>
      </c>
      <c r="L74">
        <f t="shared" si="2"/>
        <v>0.92021005344570317</v>
      </c>
      <c r="M74">
        <f t="shared" si="2"/>
        <v>0.91258992755065516</v>
      </c>
      <c r="N74">
        <f t="shared" si="2"/>
        <v>0.90503290281217363</v>
      </c>
      <c r="O74">
        <f t="shared" si="2"/>
        <v>0.897538456698739</v>
      </c>
      <c r="P74">
        <f t="shared" si="2"/>
        <v>0.89010607100584027</v>
      </c>
      <c r="Q74">
        <f t="shared" si="2"/>
        <v>0.88273523182014191</v>
      </c>
      <c r="R74">
        <f t="shared" si="2"/>
        <v>0.87542542948395108</v>
      </c>
      <c r="S74">
        <f t="shared" si="2"/>
        <v>0.86817615855997521</v>
      </c>
      <c r="T74">
        <f t="shared" si="2"/>
        <v>0.86098691779637548</v>
      </c>
      <c r="U74">
        <f t="shared" si="2"/>
        <v>0.85385721009210624</v>
      </c>
      <c r="V74">
        <f t="shared" si="2"/>
        <v>0.84678654246254403</v>
      </c>
    </row>
    <row r="75" spans="1:22" x14ac:dyDescent="0.2">
      <c r="B75" t="s">
        <v>127</v>
      </c>
      <c r="C75">
        <f>C73*C74</f>
        <v>0.80577180542470361</v>
      </c>
      <c r="D75">
        <f t="shared" ref="D75:V75" si="3">D73*D74</f>
        <v>0.79909932605216805</v>
      </c>
      <c r="E75">
        <f t="shared" si="3"/>
        <v>0.79248210051288537</v>
      </c>
      <c r="F75">
        <f t="shared" si="3"/>
        <v>0.78591967125788209</v>
      </c>
      <c r="G75">
        <f t="shared" si="3"/>
        <v>0.77941158452708093</v>
      </c>
      <c r="H75">
        <f t="shared" si="3"/>
        <v>0.77295739031792621</v>
      </c>
      <c r="I75">
        <f t="shared" si="3"/>
        <v>0.7665566423542679</v>
      </c>
      <c r="J75">
        <f t="shared" si="3"/>
        <v>0.76020889805550451</v>
      </c>
      <c r="K75">
        <f t="shared" si="3"/>
        <v>0.75391371850597966</v>
      </c>
      <c r="L75">
        <f t="shared" si="3"/>
        <v>0.74767066842463381</v>
      </c>
      <c r="M75">
        <f t="shared" si="3"/>
        <v>0.74147931613490736</v>
      </c>
      <c r="N75">
        <f t="shared" si="3"/>
        <v>0.73533923353489106</v>
      </c>
      <c r="O75">
        <f t="shared" si="3"/>
        <v>0.72924999606772545</v>
      </c>
      <c r="P75">
        <f t="shared" si="3"/>
        <v>0.72321118269224527</v>
      </c>
      <c r="Q75">
        <f t="shared" si="3"/>
        <v>0.71722237585386528</v>
      </c>
      <c r="R75">
        <f t="shared" si="3"/>
        <v>0.71128316145571024</v>
      </c>
      <c r="S75">
        <f t="shared" si="3"/>
        <v>0.70539312882997984</v>
      </c>
      <c r="T75">
        <f t="shared" si="3"/>
        <v>0.69955187070955505</v>
      </c>
      <c r="U75">
        <f t="shared" si="3"/>
        <v>0.69375898319983631</v>
      </c>
      <c r="V75">
        <f t="shared" si="3"/>
        <v>85.366668312005217</v>
      </c>
    </row>
    <row r="76" spans="1:22" x14ac:dyDescent="0.2">
      <c r="B76" s="8">
        <f>SUM(C75:V75)</f>
        <v>99.587149365916972</v>
      </c>
    </row>
    <row r="78" spans="1:22" x14ac:dyDescent="0.2">
      <c r="B78" t="s">
        <v>137</v>
      </c>
      <c r="D78" s="5" t="s">
        <v>138</v>
      </c>
      <c r="F78" t="s">
        <v>140</v>
      </c>
      <c r="G78">
        <f>(1+B62/2)^2</f>
        <v>1.0167697225000001</v>
      </c>
      <c r="H78" s="5" t="s">
        <v>139</v>
      </c>
      <c r="M78">
        <f>LN(G78)</f>
        <v>1.6630663207427569E-2</v>
      </c>
    </row>
    <row r="79" spans="1:22" x14ac:dyDescent="0.2">
      <c r="B79" t="s">
        <v>129</v>
      </c>
      <c r="G79">
        <f>27.000345*B76/100</f>
        <v>26.888873904462894</v>
      </c>
      <c r="H79" t="s">
        <v>130</v>
      </c>
    </row>
    <row r="80" spans="1:22" x14ac:dyDescent="0.2">
      <c r="B80" t="s">
        <v>120</v>
      </c>
    </row>
    <row r="81" spans="3:3" x14ac:dyDescent="0.2">
      <c r="C81" t="s">
        <v>131</v>
      </c>
    </row>
    <row r="82" spans="3:3" x14ac:dyDescent="0.2">
      <c r="C82" t="s">
        <v>132</v>
      </c>
    </row>
    <row r="83" spans="3:3" x14ac:dyDescent="0.2">
      <c r="C83" t="s">
        <v>133</v>
      </c>
    </row>
    <row r="84" spans="3:3" x14ac:dyDescent="0.2">
      <c r="C84" t="s">
        <v>134</v>
      </c>
    </row>
    <row r="85" spans="3:3" x14ac:dyDescent="0.2">
      <c r="C85" t="s">
        <v>135</v>
      </c>
    </row>
    <row r="86" spans="3:3" x14ac:dyDescent="0.2">
      <c r="C86" s="9"/>
    </row>
    <row r="88" spans="3:3" x14ac:dyDescent="0.2">
      <c r="C88" t="s">
        <v>136</v>
      </c>
    </row>
  </sheetData>
  <sortState ref="B51:B66">
    <sortCondition ref="B51"/>
  </sortState>
  <hyperlinks>
    <hyperlink ref="A15" r:id="rId1" xr:uid="{572F48B5-395D-9944-8070-CD07566A5D64}"/>
    <hyperlink ref="H1" r:id="rId2" xr:uid="{B740883F-20E2-2045-A79B-C399B0493F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FA63-B31F-554E-BBD0-DFB3BF37E5E2}">
  <dimension ref="A1:R77"/>
  <sheetViews>
    <sheetView zoomScale="140" zoomScaleNormal="140" workbookViewId="0">
      <selection activeCell="R3" sqref="R3"/>
    </sheetView>
  </sheetViews>
  <sheetFormatPr baseColWidth="10" defaultRowHeight="16" x14ac:dyDescent="0.2"/>
  <cols>
    <col min="1" max="1" width="13" customWidth="1"/>
    <col min="2" max="2" width="16" customWidth="1"/>
    <col min="3" max="3" width="13.6640625" customWidth="1"/>
    <col min="4" max="4" width="13.33203125" customWidth="1"/>
    <col min="13" max="13" width="12.33203125" customWidth="1"/>
    <col min="15" max="15" width="14.1640625" customWidth="1"/>
  </cols>
  <sheetData>
    <row r="1" spans="1:18" x14ac:dyDescent="0.2">
      <c r="A1" t="s">
        <v>0</v>
      </c>
    </row>
    <row r="2" spans="1:18" x14ac:dyDescent="0.2">
      <c r="A2" t="s">
        <v>1</v>
      </c>
      <c r="B2" t="s">
        <v>2</v>
      </c>
      <c r="E2" t="s">
        <v>12</v>
      </c>
      <c r="F2" s="1">
        <v>44077</v>
      </c>
    </row>
    <row r="3" spans="1:18" x14ac:dyDescent="0.2">
      <c r="B3" t="s">
        <v>3</v>
      </c>
      <c r="C3" s="1">
        <v>47710</v>
      </c>
      <c r="D3" s="2">
        <v>6.2500000000000003E-3</v>
      </c>
      <c r="F3" t="s">
        <v>9</v>
      </c>
      <c r="H3">
        <f>(F2-N3)/(N4-N3)*R3</f>
        <v>3.2269021739130432E-2</v>
      </c>
      <c r="M3" t="s">
        <v>10</v>
      </c>
      <c r="N3" s="1">
        <v>44058</v>
      </c>
      <c r="O3" t="s">
        <v>13</v>
      </c>
      <c r="R3">
        <f>50*D3</f>
        <v>0.3125</v>
      </c>
    </row>
    <row r="4" spans="1:18" x14ac:dyDescent="0.2">
      <c r="C4" s="1" t="s">
        <v>7</v>
      </c>
      <c r="D4" s="2" t="s">
        <v>8</v>
      </c>
      <c r="M4" t="s">
        <v>11</v>
      </c>
      <c r="N4" s="1">
        <v>44242</v>
      </c>
    </row>
    <row r="5" spans="1:18" x14ac:dyDescent="0.2">
      <c r="B5" t="s">
        <v>4</v>
      </c>
      <c r="C5" t="s">
        <v>5</v>
      </c>
      <c r="D5" t="s">
        <v>6</v>
      </c>
    </row>
    <row r="6" spans="1:18" x14ac:dyDescent="0.2">
      <c r="B6" t="s">
        <v>14</v>
      </c>
      <c r="C6">
        <f>99+1.5/32+H3</f>
        <v>99.079144021739125</v>
      </c>
      <c r="D6">
        <f>99+2/32+H3</f>
        <v>99.094769021739125</v>
      </c>
    </row>
    <row r="8" spans="1:18" x14ac:dyDescent="0.2">
      <c r="A8" t="s">
        <v>15</v>
      </c>
      <c r="J8" t="s">
        <v>74</v>
      </c>
    </row>
    <row r="9" spans="1:18" x14ac:dyDescent="0.2">
      <c r="A9" t="s">
        <v>16</v>
      </c>
    </row>
    <row r="10" spans="1:18" x14ac:dyDescent="0.2">
      <c r="B10" t="s">
        <v>18</v>
      </c>
    </row>
    <row r="11" spans="1:18" x14ac:dyDescent="0.2">
      <c r="A11" t="s">
        <v>17</v>
      </c>
    </row>
    <row r="13" spans="1:18" x14ac:dyDescent="0.2">
      <c r="A13" t="s">
        <v>19</v>
      </c>
    </row>
    <row r="14" spans="1:18" x14ac:dyDescent="0.2">
      <c r="A14" t="s">
        <v>20</v>
      </c>
    </row>
    <row r="16" spans="1:18" x14ac:dyDescent="0.2">
      <c r="A16" t="s">
        <v>21</v>
      </c>
      <c r="B16" s="3">
        <v>100000000</v>
      </c>
    </row>
    <row r="17" spans="1:14" x14ac:dyDescent="0.2">
      <c r="A17" t="s">
        <v>22</v>
      </c>
      <c r="B17" s="3">
        <f>B16*D6/100</f>
        <v>99094769.021739125</v>
      </c>
    </row>
    <row r="18" spans="1:14" x14ac:dyDescent="0.2">
      <c r="A18" t="s">
        <v>23</v>
      </c>
      <c r="B18" s="3">
        <f>B17</f>
        <v>99094769.021739125</v>
      </c>
    </row>
    <row r="20" spans="1:14" x14ac:dyDescent="0.2">
      <c r="A20" t="s">
        <v>24</v>
      </c>
      <c r="D20">
        <v>1.1999999999999999E-3</v>
      </c>
      <c r="G20" t="s">
        <v>7</v>
      </c>
      <c r="H20" t="s">
        <v>8</v>
      </c>
      <c r="M20" t="s">
        <v>12</v>
      </c>
      <c r="N20" s="1">
        <v>44138</v>
      </c>
    </row>
    <row r="21" spans="1:14" x14ac:dyDescent="0.2">
      <c r="A21" t="s">
        <v>25</v>
      </c>
      <c r="G21" t="s">
        <v>26</v>
      </c>
      <c r="H21" t="s">
        <v>27</v>
      </c>
      <c r="I21" t="s">
        <v>28</v>
      </c>
      <c r="K21">
        <f>(N20-N3)/(N4-N3)*R3</f>
        <v>0.1358695652173913</v>
      </c>
    </row>
    <row r="22" spans="1:14" x14ac:dyDescent="0.2">
      <c r="E22" t="s">
        <v>14</v>
      </c>
      <c r="G22">
        <f>98+31/32+K21</f>
        <v>99.104619565217391</v>
      </c>
      <c r="H22">
        <f>99+K21</f>
        <v>99.135869565217391</v>
      </c>
    </row>
    <row r="23" spans="1:14" x14ac:dyDescent="0.2">
      <c r="A23" t="s">
        <v>29</v>
      </c>
      <c r="D23" s="3">
        <f>G22*B16/100</f>
        <v>99104619.565217406</v>
      </c>
      <c r="E23" t="s">
        <v>30</v>
      </c>
    </row>
    <row r="25" spans="1:14" x14ac:dyDescent="0.2">
      <c r="A25" t="s">
        <v>31</v>
      </c>
      <c r="E25" s="3">
        <f>D23-B17</f>
        <v>9850.5434782803059</v>
      </c>
    </row>
    <row r="26" spans="1:14" x14ac:dyDescent="0.2">
      <c r="A26" t="s">
        <v>35</v>
      </c>
    </row>
    <row r="27" spans="1:14" x14ac:dyDescent="0.2">
      <c r="B27" t="s">
        <v>32</v>
      </c>
      <c r="D27">
        <f>N20-F2</f>
        <v>61</v>
      </c>
    </row>
    <row r="28" spans="1:14" x14ac:dyDescent="0.2">
      <c r="B28" t="s">
        <v>33</v>
      </c>
      <c r="D28">
        <f>D20</f>
        <v>1.1999999999999999E-3</v>
      </c>
    </row>
    <row r="29" spans="1:14" x14ac:dyDescent="0.2">
      <c r="B29" t="s">
        <v>34</v>
      </c>
      <c r="D29" s="3">
        <f>D28*(D27/360)*B17</f>
        <v>20149.269701086956</v>
      </c>
    </row>
    <row r="31" spans="1:14" x14ac:dyDescent="0.2">
      <c r="A31" t="s">
        <v>36</v>
      </c>
      <c r="E31" s="3">
        <f>E25-D29</f>
        <v>-10298.72622280665</v>
      </c>
    </row>
    <row r="34" spans="1:17" x14ac:dyDescent="0.2">
      <c r="A34" t="s">
        <v>37</v>
      </c>
    </row>
    <row r="35" spans="1:17" x14ac:dyDescent="0.2">
      <c r="B35" t="s">
        <v>38</v>
      </c>
    </row>
    <row r="36" spans="1:17" x14ac:dyDescent="0.2">
      <c r="B36" t="s">
        <v>39</v>
      </c>
    </row>
    <row r="37" spans="1:17" x14ac:dyDescent="0.2">
      <c r="B37" t="s">
        <v>40</v>
      </c>
    </row>
    <row r="38" spans="1:17" x14ac:dyDescent="0.2">
      <c r="B38" t="s">
        <v>41</v>
      </c>
    </row>
    <row r="39" spans="1:17" x14ac:dyDescent="0.2">
      <c r="B39" t="s">
        <v>42</v>
      </c>
    </row>
    <row r="40" spans="1:17" x14ac:dyDescent="0.2">
      <c r="B40" t="s">
        <v>43</v>
      </c>
    </row>
    <row r="41" spans="1:17" x14ac:dyDescent="0.2">
      <c r="B41" t="s">
        <v>44</v>
      </c>
      <c r="I41">
        <f>532+23</f>
        <v>555</v>
      </c>
      <c r="J41">
        <v>99</v>
      </c>
      <c r="K41">
        <f>I41*J41</f>
        <v>54945</v>
      </c>
      <c r="L41" t="s">
        <v>45</v>
      </c>
    </row>
    <row r="42" spans="1:17" x14ac:dyDescent="0.2">
      <c r="F42" t="s">
        <v>46</v>
      </c>
      <c r="I42" s="4">
        <f>K42/J42</f>
        <v>345.67901234567898</v>
      </c>
      <c r="J42">
        <v>81</v>
      </c>
      <c r="K42">
        <v>28000</v>
      </c>
      <c r="L42" t="s">
        <v>47</v>
      </c>
    </row>
    <row r="43" spans="1:17" x14ac:dyDescent="0.2">
      <c r="F43" t="s">
        <v>48</v>
      </c>
      <c r="I43">
        <v>532</v>
      </c>
      <c r="K43">
        <f>I43*J41</f>
        <v>52668</v>
      </c>
      <c r="L43" t="s">
        <v>49</v>
      </c>
      <c r="P43">
        <f>K42-K43</f>
        <v>-24668</v>
      </c>
      <c r="Q43" t="s">
        <v>50</v>
      </c>
    </row>
    <row r="45" spans="1:17" x14ac:dyDescent="0.2">
      <c r="B45" t="s">
        <v>51</v>
      </c>
    </row>
    <row r="46" spans="1:17" x14ac:dyDescent="0.2">
      <c r="B46" t="s">
        <v>52</v>
      </c>
    </row>
    <row r="47" spans="1:17" x14ac:dyDescent="0.2">
      <c r="B47" t="s">
        <v>53</v>
      </c>
      <c r="G47">
        <v>-0.3</v>
      </c>
    </row>
    <row r="48" spans="1:17" x14ac:dyDescent="0.2">
      <c r="B48" t="s">
        <v>54</v>
      </c>
    </row>
    <row r="50" spans="1:18" x14ac:dyDescent="0.2">
      <c r="B50" t="s">
        <v>55</v>
      </c>
    </row>
    <row r="51" spans="1:18" x14ac:dyDescent="0.2">
      <c r="B51" t="s">
        <v>56</v>
      </c>
    </row>
    <row r="52" spans="1:18" x14ac:dyDescent="0.2">
      <c r="B52" t="s">
        <v>57</v>
      </c>
    </row>
    <row r="53" spans="1:18" x14ac:dyDescent="0.2">
      <c r="C53" t="s">
        <v>58</v>
      </c>
    </row>
    <row r="54" spans="1:18" x14ac:dyDescent="0.2">
      <c r="C54" t="s">
        <v>59</v>
      </c>
    </row>
    <row r="56" spans="1:18" x14ac:dyDescent="0.2">
      <c r="A56" t="s">
        <v>60</v>
      </c>
      <c r="P56" t="s">
        <v>61</v>
      </c>
      <c r="R56">
        <f>D20</f>
        <v>1.1999999999999999E-3</v>
      </c>
    </row>
    <row r="57" spans="1:18" x14ac:dyDescent="0.2">
      <c r="P57" s="5" t="s">
        <v>62</v>
      </c>
      <c r="R57">
        <v>0.02</v>
      </c>
    </row>
    <row r="58" spans="1:18" x14ac:dyDescent="0.2">
      <c r="P58" s="5" t="s">
        <v>63</v>
      </c>
      <c r="R58">
        <f>R56-R57</f>
        <v>-1.8800000000000001E-2</v>
      </c>
    </row>
    <row r="60" spans="1:18" x14ac:dyDescent="0.2">
      <c r="A60" t="s">
        <v>64</v>
      </c>
    </row>
    <row r="62" spans="1:18" x14ac:dyDescent="0.2">
      <c r="B62" t="s">
        <v>65</v>
      </c>
      <c r="D62" s="3">
        <f>E25</f>
        <v>9850.5434782803059</v>
      </c>
    </row>
    <row r="63" spans="1:18" x14ac:dyDescent="0.2">
      <c r="B63" t="s">
        <v>66</v>
      </c>
      <c r="D63" s="3">
        <f>R58*D27/360*B17</f>
        <v>-315671.89198369562</v>
      </c>
    </row>
    <row r="64" spans="1:18" x14ac:dyDescent="0.2">
      <c r="B64" t="s">
        <v>67</v>
      </c>
      <c r="D64" s="3">
        <f>D62-D63</f>
        <v>325522.43546197593</v>
      </c>
      <c r="E64" t="s">
        <v>68</v>
      </c>
    </row>
    <row r="66" spans="1:3" x14ac:dyDescent="0.2">
      <c r="A66" t="s">
        <v>69</v>
      </c>
    </row>
    <row r="67" spans="1:3" x14ac:dyDescent="0.2">
      <c r="A67" t="s">
        <v>70</v>
      </c>
    </row>
    <row r="68" spans="1:3" x14ac:dyDescent="0.2">
      <c r="A68" t="s">
        <v>71</v>
      </c>
    </row>
    <row r="69" spans="1:3" x14ac:dyDescent="0.2">
      <c r="B69" t="s">
        <v>72</v>
      </c>
      <c r="C69" s="3">
        <f>B17</f>
        <v>99094769.021739125</v>
      </c>
    </row>
    <row r="70" spans="1:3" x14ac:dyDescent="0.2">
      <c r="B70" t="s">
        <v>23</v>
      </c>
      <c r="C70" s="3">
        <f>0.98*C69</f>
        <v>97112873.641304344</v>
      </c>
    </row>
    <row r="71" spans="1:3" x14ac:dyDescent="0.2">
      <c r="A71" t="s">
        <v>73</v>
      </c>
      <c r="C71" s="3">
        <f>C69-C70</f>
        <v>1981895.3804347813</v>
      </c>
    </row>
    <row r="73" spans="1:3" x14ac:dyDescent="0.2">
      <c r="A73" t="s">
        <v>36</v>
      </c>
    </row>
    <row r="74" spans="1:3" x14ac:dyDescent="0.2">
      <c r="B74" t="s">
        <v>75</v>
      </c>
      <c r="C74" s="3">
        <f>D23</f>
        <v>99104619.565217406</v>
      </c>
    </row>
    <row r="75" spans="1:3" x14ac:dyDescent="0.2">
      <c r="B75" t="s">
        <v>34</v>
      </c>
      <c r="C75" s="3">
        <f>D27*D28/360*C70</f>
        <v>19746.284307065212</v>
      </c>
    </row>
    <row r="76" spans="1:3" x14ac:dyDescent="0.2">
      <c r="B76" t="s">
        <v>76</v>
      </c>
      <c r="C76" s="3">
        <f>(EXP(0.09*D27/365.25)-1)*C71</f>
        <v>30014.480467983965</v>
      </c>
    </row>
    <row r="77" spans="1:3" x14ac:dyDescent="0.2">
      <c r="B77" t="s">
        <v>77</v>
      </c>
      <c r="C77" s="6">
        <f>C74-C69-C75-C76</f>
        <v>-39910.221296768868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8226-471C-7544-9B9C-2D58F4DD0C0A}">
  <dimension ref="A1:AF90"/>
  <sheetViews>
    <sheetView tabSelected="1" zoomScale="125" workbookViewId="0">
      <selection activeCell="C73" sqref="C73"/>
    </sheetView>
  </sheetViews>
  <sheetFormatPr baseColWidth="10" defaultRowHeight="16" x14ac:dyDescent="0.2"/>
  <cols>
    <col min="2" max="2" width="14" bestFit="1" customWidth="1"/>
    <col min="3" max="3" width="20.83203125" customWidth="1"/>
    <col min="4" max="4" width="14.6640625" customWidth="1"/>
    <col min="5" max="5" width="12.83203125" customWidth="1"/>
    <col min="6" max="6" width="12.33203125" customWidth="1"/>
    <col min="7" max="7" width="14.33203125" customWidth="1"/>
    <col min="8" max="8" width="17" customWidth="1"/>
    <col min="32" max="32" width="13" customWidth="1"/>
  </cols>
  <sheetData>
    <row r="1" spans="1:22" ht="21" x14ac:dyDescent="0.25">
      <c r="A1" s="10" t="s">
        <v>143</v>
      </c>
      <c r="B1" s="10"/>
      <c r="C1" s="10"/>
      <c r="D1" s="10"/>
      <c r="E1" s="10"/>
      <c r="F1" s="10"/>
      <c r="G1" s="10"/>
      <c r="H1" s="10"/>
      <c r="I1" s="10"/>
      <c r="J1" s="10"/>
      <c r="K1" s="10"/>
      <c r="L1" s="10"/>
      <c r="M1" s="10"/>
      <c r="N1" s="10"/>
      <c r="O1" s="10"/>
      <c r="P1" s="10"/>
      <c r="Q1" s="10"/>
      <c r="R1" s="10"/>
      <c r="S1" s="10"/>
      <c r="T1" s="10"/>
      <c r="U1" s="10"/>
      <c r="V1" s="10"/>
    </row>
    <row r="2" spans="1:22" ht="21" x14ac:dyDescent="0.25">
      <c r="A2" s="10" t="s">
        <v>144</v>
      </c>
      <c r="B2" s="10"/>
      <c r="C2" s="10"/>
      <c r="D2" s="10"/>
      <c r="E2" s="10"/>
      <c r="F2" s="10"/>
      <c r="G2" s="10"/>
      <c r="H2" s="10"/>
      <c r="I2" s="10"/>
      <c r="J2" s="10"/>
      <c r="K2" s="10"/>
      <c r="L2" s="10"/>
      <c r="M2" s="10"/>
      <c r="N2" s="10"/>
      <c r="O2" s="10"/>
      <c r="P2" s="10"/>
      <c r="Q2" s="10"/>
      <c r="R2" s="10"/>
      <c r="S2" s="10"/>
      <c r="T2" s="10"/>
      <c r="U2" s="10"/>
      <c r="V2" s="10"/>
    </row>
    <row r="3" spans="1:22" ht="21" x14ac:dyDescent="0.25">
      <c r="A3" s="10"/>
      <c r="B3" s="10"/>
      <c r="C3" s="10"/>
      <c r="D3" s="10"/>
      <c r="E3" s="10"/>
      <c r="F3" s="10"/>
      <c r="G3" s="10"/>
      <c r="H3" s="10"/>
      <c r="I3" s="10"/>
      <c r="J3" s="10"/>
      <c r="K3" s="10"/>
      <c r="L3" s="10"/>
      <c r="M3" s="10"/>
      <c r="N3" s="10"/>
      <c r="O3" s="10"/>
      <c r="P3" s="10"/>
      <c r="Q3" s="10"/>
      <c r="R3" s="10"/>
      <c r="S3" s="10"/>
      <c r="T3" s="10"/>
      <c r="U3" s="10"/>
      <c r="V3" s="10"/>
    </row>
    <row r="4" spans="1:22" ht="21" x14ac:dyDescent="0.25">
      <c r="A4" s="10" t="s">
        <v>145</v>
      </c>
      <c r="B4" s="10"/>
      <c r="C4" s="10"/>
      <c r="D4" s="10"/>
      <c r="E4" s="10"/>
      <c r="F4" s="10"/>
      <c r="G4" s="10"/>
      <c r="H4" s="10"/>
      <c r="I4" s="10"/>
      <c r="J4" s="10"/>
      <c r="K4" s="10"/>
      <c r="L4" s="10"/>
      <c r="M4" s="10"/>
      <c r="N4" s="10"/>
      <c r="O4" s="10"/>
      <c r="P4" s="10"/>
      <c r="Q4" s="10"/>
      <c r="R4" s="10"/>
      <c r="S4" s="10"/>
      <c r="T4" s="10"/>
      <c r="U4" s="10"/>
      <c r="V4" s="10"/>
    </row>
    <row r="5" spans="1:22" ht="21" x14ac:dyDescent="0.25">
      <c r="A5" s="10" t="s">
        <v>146</v>
      </c>
      <c r="B5" s="10"/>
      <c r="C5" s="10"/>
      <c r="D5" s="10"/>
      <c r="E5" s="10"/>
      <c r="F5" s="10"/>
      <c r="G5" s="10"/>
      <c r="H5" s="10"/>
      <c r="I5" s="10"/>
      <c r="J5" s="10"/>
      <c r="K5" s="10"/>
      <c r="L5" s="10"/>
      <c r="M5" s="10"/>
      <c r="N5" s="10"/>
      <c r="O5" s="10"/>
      <c r="P5" s="10"/>
      <c r="Q5" s="10"/>
      <c r="R5" s="10"/>
      <c r="S5" s="10"/>
      <c r="T5" s="10"/>
      <c r="U5" s="10"/>
      <c r="V5" s="10"/>
    </row>
    <row r="6" spans="1:22" ht="21" x14ac:dyDescent="0.25">
      <c r="A6" s="10" t="s">
        <v>147</v>
      </c>
      <c r="B6" s="10"/>
      <c r="C6" s="10"/>
      <c r="D6" s="10"/>
      <c r="E6" s="10"/>
      <c r="F6" s="10"/>
      <c r="G6" s="10"/>
      <c r="H6" s="10"/>
      <c r="I6" s="10"/>
      <c r="J6" s="10"/>
      <c r="K6" s="10"/>
      <c r="L6" s="10"/>
      <c r="M6" s="10"/>
      <c r="N6" s="10"/>
      <c r="O6" s="10"/>
      <c r="P6" s="10"/>
      <c r="Q6" s="10"/>
      <c r="R6" s="10"/>
      <c r="S6" s="10"/>
      <c r="T6" s="10"/>
      <c r="U6" s="10"/>
      <c r="V6" s="10"/>
    </row>
    <row r="8" spans="1:22" x14ac:dyDescent="0.2">
      <c r="A8" t="s">
        <v>1</v>
      </c>
      <c r="B8" t="s">
        <v>2</v>
      </c>
      <c r="E8" t="s">
        <v>12</v>
      </c>
      <c r="F8" s="1">
        <v>44077</v>
      </c>
    </row>
    <row r="9" spans="1:22" x14ac:dyDescent="0.2">
      <c r="B9" t="s">
        <v>3</v>
      </c>
      <c r="C9" s="1">
        <v>47710</v>
      </c>
      <c r="D9" s="2">
        <v>6.2500000000000003E-3</v>
      </c>
      <c r="F9" t="s">
        <v>9</v>
      </c>
      <c r="H9">
        <f>(F8-N9)/(N10-N9)*R9</f>
        <v>3.2269021739130432E-2</v>
      </c>
      <c r="M9" t="s">
        <v>10</v>
      </c>
      <c r="N9" s="1">
        <v>44058</v>
      </c>
      <c r="O9" t="s">
        <v>13</v>
      </c>
      <c r="R9">
        <f>'Repo Fin'!R3</f>
        <v>0.3125</v>
      </c>
    </row>
    <row r="10" spans="1:22" x14ac:dyDescent="0.2">
      <c r="C10" s="1" t="s">
        <v>7</v>
      </c>
      <c r="D10" s="2" t="s">
        <v>8</v>
      </c>
      <c r="M10" t="s">
        <v>11</v>
      </c>
      <c r="N10" s="1">
        <v>44242</v>
      </c>
    </row>
    <row r="11" spans="1:22" x14ac:dyDescent="0.2">
      <c r="B11" t="s">
        <v>4</v>
      </c>
      <c r="C11" t="s">
        <v>5</v>
      </c>
      <c r="D11" t="s">
        <v>6</v>
      </c>
    </row>
    <row r="12" spans="1:22" x14ac:dyDescent="0.2">
      <c r="B12" t="s">
        <v>14</v>
      </c>
      <c r="C12">
        <f>99+1.5/32+H9</f>
        <v>99.079144021739125</v>
      </c>
      <c r="D12">
        <f>99+2/32+H9</f>
        <v>99.094769021739125</v>
      </c>
    </row>
    <row r="14" spans="1:22" x14ac:dyDescent="0.2">
      <c r="A14" t="s">
        <v>149</v>
      </c>
      <c r="B14">
        <v>7.232744008990568E-3</v>
      </c>
      <c r="C14" t="s">
        <v>150</v>
      </c>
    </row>
    <row r="15" spans="1:22" x14ac:dyDescent="0.2">
      <c r="A15" t="s">
        <v>148</v>
      </c>
      <c r="B15" s="1">
        <v>44243</v>
      </c>
      <c r="C15" s="1">
        <v>44424</v>
      </c>
      <c r="D15" s="1">
        <v>44607</v>
      </c>
      <c r="E15" s="1">
        <v>44788</v>
      </c>
      <c r="F15" s="1">
        <v>44972</v>
      </c>
      <c r="G15" s="1">
        <v>45153</v>
      </c>
      <c r="H15" s="1">
        <v>45337</v>
      </c>
      <c r="I15" s="1">
        <v>45519</v>
      </c>
      <c r="J15" s="1">
        <v>45706</v>
      </c>
      <c r="K15" s="1">
        <v>45884</v>
      </c>
      <c r="L15" s="1">
        <v>46070</v>
      </c>
      <c r="M15" s="1">
        <v>46251</v>
      </c>
      <c r="N15" s="1">
        <v>46434</v>
      </c>
      <c r="O15" s="1">
        <v>46615</v>
      </c>
      <c r="P15" s="1">
        <v>46798</v>
      </c>
      <c r="Q15" s="1">
        <v>46980</v>
      </c>
      <c r="R15" s="1">
        <v>47164</v>
      </c>
      <c r="S15" s="1">
        <v>47345</v>
      </c>
      <c r="T15" s="1">
        <v>47529</v>
      </c>
      <c r="U15" s="1">
        <v>47710</v>
      </c>
    </row>
    <row r="16" spans="1:22" x14ac:dyDescent="0.2">
      <c r="A16" t="s">
        <v>124</v>
      </c>
      <c r="B16">
        <f>(B15-$F$8)/365.25</f>
        <v>0.45448323066392882</v>
      </c>
      <c r="C16">
        <f t="shared" ref="C16:U16" si="0">(C15-$F$8)/365.25</f>
        <v>0.95003422313483921</v>
      </c>
      <c r="D16">
        <f t="shared" si="0"/>
        <v>1.4510609171800137</v>
      </c>
      <c r="E16">
        <f t="shared" si="0"/>
        <v>1.946611909650924</v>
      </c>
      <c r="F16">
        <f t="shared" si="0"/>
        <v>2.4503764544832305</v>
      </c>
      <c r="G16">
        <f t="shared" si="0"/>
        <v>2.945927446954141</v>
      </c>
      <c r="H16">
        <f t="shared" si="0"/>
        <v>3.4496919917864477</v>
      </c>
      <c r="I16">
        <f t="shared" si="0"/>
        <v>3.9479808350444903</v>
      </c>
      <c r="J16">
        <f t="shared" si="0"/>
        <v>4.4599589322381927</v>
      </c>
      <c r="K16">
        <f t="shared" si="0"/>
        <v>4.947296372347707</v>
      </c>
      <c r="L16">
        <f t="shared" si="0"/>
        <v>5.4565366187542779</v>
      </c>
      <c r="M16">
        <f t="shared" si="0"/>
        <v>5.9520876112251884</v>
      </c>
      <c r="N16">
        <f t="shared" si="0"/>
        <v>6.453114305270363</v>
      </c>
      <c r="O16">
        <f t="shared" si="0"/>
        <v>6.9486652977412735</v>
      </c>
      <c r="P16">
        <f t="shared" si="0"/>
        <v>7.4496919917864473</v>
      </c>
      <c r="Q16">
        <f t="shared" si="0"/>
        <v>7.9479808350444898</v>
      </c>
      <c r="R16">
        <f t="shared" si="0"/>
        <v>8.4517453798767974</v>
      </c>
      <c r="S16">
        <f t="shared" si="0"/>
        <v>8.9472963723477079</v>
      </c>
      <c r="T16">
        <f t="shared" si="0"/>
        <v>9.4510609171800137</v>
      </c>
      <c r="U16">
        <f t="shared" si="0"/>
        <v>9.9466119096509242</v>
      </c>
    </row>
    <row r="17" spans="1:21" x14ac:dyDescent="0.2">
      <c r="A17" t="s">
        <v>125</v>
      </c>
      <c r="B17">
        <f>$R$9</f>
        <v>0.3125</v>
      </c>
      <c r="C17">
        <f t="shared" ref="C17:T17" si="1">$R$9</f>
        <v>0.3125</v>
      </c>
      <c r="D17">
        <f t="shared" si="1"/>
        <v>0.3125</v>
      </c>
      <c r="E17">
        <f t="shared" si="1"/>
        <v>0.3125</v>
      </c>
      <c r="F17">
        <f t="shared" si="1"/>
        <v>0.3125</v>
      </c>
      <c r="G17">
        <f t="shared" si="1"/>
        <v>0.3125</v>
      </c>
      <c r="H17">
        <f t="shared" si="1"/>
        <v>0.3125</v>
      </c>
      <c r="I17">
        <f t="shared" si="1"/>
        <v>0.3125</v>
      </c>
      <c r="J17">
        <f t="shared" si="1"/>
        <v>0.3125</v>
      </c>
      <c r="K17">
        <f t="shared" si="1"/>
        <v>0.3125</v>
      </c>
      <c r="L17">
        <f t="shared" si="1"/>
        <v>0.3125</v>
      </c>
      <c r="M17">
        <f t="shared" si="1"/>
        <v>0.3125</v>
      </c>
      <c r="N17">
        <f t="shared" si="1"/>
        <v>0.3125</v>
      </c>
      <c r="O17">
        <f t="shared" si="1"/>
        <v>0.3125</v>
      </c>
      <c r="P17">
        <f t="shared" si="1"/>
        <v>0.3125</v>
      </c>
      <c r="Q17">
        <f t="shared" si="1"/>
        <v>0.3125</v>
      </c>
      <c r="R17">
        <f t="shared" si="1"/>
        <v>0.3125</v>
      </c>
      <c r="S17">
        <f t="shared" si="1"/>
        <v>0.3125</v>
      </c>
      <c r="T17">
        <f t="shared" si="1"/>
        <v>0.3125</v>
      </c>
      <c r="U17">
        <f>100*(1+'Repo Fin'!D3/2)</f>
        <v>100.3125</v>
      </c>
    </row>
    <row r="18" spans="1:21" x14ac:dyDescent="0.2">
      <c r="A18" t="s">
        <v>126</v>
      </c>
      <c r="B18">
        <f>EXP(-B16*$B$14)</f>
        <v>0.99671823593450004</v>
      </c>
      <c r="C18">
        <f t="shared" ref="C18:U18" si="2">EXP(-C16*$B$14)</f>
        <v>0.99315219943983213</v>
      </c>
      <c r="D18">
        <f t="shared" si="2"/>
        <v>0.98955972978804962</v>
      </c>
      <c r="E18">
        <f t="shared" si="2"/>
        <v>0.9860193048385959</v>
      </c>
      <c r="F18">
        <f t="shared" si="2"/>
        <v>0.98243318207165653</v>
      </c>
      <c r="G18">
        <f t="shared" si="2"/>
        <v>0.97891825432725177</v>
      </c>
      <c r="H18">
        <f t="shared" si="2"/>
        <v>0.97535795786896884</v>
      </c>
      <c r="I18">
        <f t="shared" si="2"/>
        <v>0.97184909879009651</v>
      </c>
      <c r="J18">
        <f t="shared" si="2"/>
        <v>0.96825699015097966</v>
      </c>
      <c r="K18">
        <f t="shared" si="2"/>
        <v>0.96485009835871816</v>
      </c>
      <c r="L18">
        <f t="shared" si="2"/>
        <v>0.96130289483552589</v>
      </c>
      <c r="M18">
        <f t="shared" si="2"/>
        <v>0.95786356656618865</v>
      </c>
      <c r="N18">
        <f t="shared" si="2"/>
        <v>0.954398744361316</v>
      </c>
      <c r="O18">
        <f t="shared" si="2"/>
        <v>0.95098411760908574</v>
      </c>
      <c r="P18">
        <f t="shared" si="2"/>
        <v>0.94754418002070329</v>
      </c>
      <c r="Q18">
        <f t="shared" si="2"/>
        <v>0.94413538125931062</v>
      </c>
      <c r="R18">
        <f t="shared" si="2"/>
        <v>0.94070158907168067</v>
      </c>
      <c r="S18">
        <f t="shared" si="2"/>
        <v>0.93733596769918059</v>
      </c>
      <c r="T18">
        <f t="shared" si="2"/>
        <v>0.93392690477562312</v>
      </c>
      <c r="U18">
        <f t="shared" si="2"/>
        <v>0.93058552171899667</v>
      </c>
    </row>
    <row r="19" spans="1:21" x14ac:dyDescent="0.2">
      <c r="A19" t="s">
        <v>127</v>
      </c>
      <c r="B19">
        <f>B17*B18</f>
        <v>0.31147444872953128</v>
      </c>
      <c r="C19">
        <f t="shared" ref="C19:U19" si="3">C17*C18</f>
        <v>0.31036006232494756</v>
      </c>
      <c r="D19">
        <f t="shared" si="3"/>
        <v>0.30923741555876549</v>
      </c>
      <c r="E19">
        <f t="shared" si="3"/>
        <v>0.30813103276206122</v>
      </c>
      <c r="F19">
        <f t="shared" si="3"/>
        <v>0.30701036939739268</v>
      </c>
      <c r="G19">
        <f t="shared" si="3"/>
        <v>0.30591195447726616</v>
      </c>
      <c r="H19">
        <f t="shared" si="3"/>
        <v>0.30479936183405276</v>
      </c>
      <c r="I19">
        <f t="shared" si="3"/>
        <v>0.30370284337190517</v>
      </c>
      <c r="J19">
        <f t="shared" si="3"/>
        <v>0.30258030942218117</v>
      </c>
      <c r="K19">
        <f t="shared" si="3"/>
        <v>0.30151565573709943</v>
      </c>
      <c r="L19">
        <f t="shared" si="3"/>
        <v>0.30040715463610185</v>
      </c>
      <c r="M19">
        <f t="shared" si="3"/>
        <v>0.29933236455193396</v>
      </c>
      <c r="N19">
        <f t="shared" si="3"/>
        <v>0.29824960761291125</v>
      </c>
      <c r="O19">
        <f t="shared" si="3"/>
        <v>0.29718253675283929</v>
      </c>
      <c r="P19">
        <f t="shared" si="3"/>
        <v>0.29610755625646978</v>
      </c>
      <c r="Q19">
        <f t="shared" si="3"/>
        <v>0.29504230664353459</v>
      </c>
      <c r="R19">
        <f t="shared" si="3"/>
        <v>0.2939692465849002</v>
      </c>
      <c r="S19">
        <f t="shared" si="3"/>
        <v>0.29291748990599392</v>
      </c>
      <c r="T19">
        <f t="shared" si="3"/>
        <v>0.29185215774238221</v>
      </c>
      <c r="U19">
        <f t="shared" si="3"/>
        <v>93.349360147436855</v>
      </c>
    </row>
    <row r="20" spans="1:21" x14ac:dyDescent="0.2">
      <c r="A20" s="8">
        <f>SUM(B19:U19)</f>
        <v>99.079144021739125</v>
      </c>
    </row>
    <row r="21" spans="1:21" x14ac:dyDescent="0.2">
      <c r="A21" t="s">
        <v>151</v>
      </c>
      <c r="C21" s="11">
        <f>(C12-A20)^2</f>
        <v>0</v>
      </c>
    </row>
    <row r="22" spans="1:21" x14ac:dyDescent="0.2">
      <c r="A22" t="s">
        <v>152</v>
      </c>
    </row>
    <row r="24" spans="1:21" x14ac:dyDescent="0.2">
      <c r="A24" t="s">
        <v>153</v>
      </c>
      <c r="C24">
        <v>6.2500000000000003E-3</v>
      </c>
      <c r="D24" t="s">
        <v>154</v>
      </c>
      <c r="G24" t="s">
        <v>155</v>
      </c>
      <c r="H24" t="s">
        <v>162</v>
      </c>
      <c r="J24" t="s">
        <v>157</v>
      </c>
      <c r="K24">
        <f>(F8-O24)/(O25-O24)*R24</f>
        <v>0.18851902173913043</v>
      </c>
      <c r="N24" t="s">
        <v>10</v>
      </c>
      <c r="O24" s="1">
        <v>43966</v>
      </c>
      <c r="P24" t="s">
        <v>159</v>
      </c>
      <c r="R24">
        <f>50*C24</f>
        <v>0.3125</v>
      </c>
    </row>
    <row r="25" spans="1:21" x14ac:dyDescent="0.2">
      <c r="G25" t="s">
        <v>156</v>
      </c>
      <c r="H25" t="s">
        <v>163</v>
      </c>
      <c r="I25" t="s">
        <v>160</v>
      </c>
      <c r="K25">
        <f>97+31.5/32+K24</f>
        <v>98.172894021739125</v>
      </c>
      <c r="N25" t="s">
        <v>158</v>
      </c>
      <c r="O25" s="1">
        <v>44150</v>
      </c>
    </row>
    <row r="26" spans="1:21" x14ac:dyDescent="0.2">
      <c r="A26" t="s">
        <v>149</v>
      </c>
      <c r="B26">
        <v>8.4039011914511883E-3</v>
      </c>
      <c r="C26" t="s">
        <v>150</v>
      </c>
    </row>
    <row r="27" spans="1:21" x14ac:dyDescent="0.2">
      <c r="A27" t="s">
        <v>148</v>
      </c>
      <c r="B27" s="1">
        <v>44151</v>
      </c>
      <c r="C27" s="1">
        <v>44333</v>
      </c>
      <c r="D27" s="1">
        <v>44515</v>
      </c>
      <c r="E27" s="1">
        <v>44697</v>
      </c>
      <c r="F27" s="1">
        <v>44880</v>
      </c>
      <c r="G27" s="1">
        <v>45061</v>
      </c>
      <c r="H27" s="1">
        <v>45245</v>
      </c>
      <c r="I27" s="1">
        <v>45427</v>
      </c>
      <c r="J27" s="1">
        <v>45611</v>
      </c>
      <c r="K27" s="1">
        <v>45792</v>
      </c>
      <c r="L27" s="1">
        <v>45978</v>
      </c>
      <c r="M27" s="1">
        <v>46157</v>
      </c>
      <c r="N27" s="1">
        <v>46342</v>
      </c>
      <c r="O27" s="1">
        <v>46524</v>
      </c>
      <c r="P27" s="1">
        <v>46706</v>
      </c>
      <c r="Q27" s="1">
        <v>46888</v>
      </c>
      <c r="R27" s="1">
        <v>47072</v>
      </c>
      <c r="S27" s="1">
        <v>47253</v>
      </c>
      <c r="T27" s="1">
        <v>47437</v>
      </c>
      <c r="U27" s="1">
        <v>47618</v>
      </c>
    </row>
    <row r="28" spans="1:21" x14ac:dyDescent="0.2">
      <c r="A28" t="s">
        <v>124</v>
      </c>
      <c r="B28">
        <f t="shared" ref="B28:U28" si="4">(B27-$F$8)/365.25</f>
        <v>0.20260095824777549</v>
      </c>
      <c r="C28">
        <f t="shared" si="4"/>
        <v>0.70088980150581792</v>
      </c>
      <c r="D28">
        <f t="shared" si="4"/>
        <v>1.1991786447638604</v>
      </c>
      <c r="E28">
        <f t="shared" si="4"/>
        <v>1.6974674880219027</v>
      </c>
      <c r="F28">
        <f t="shared" si="4"/>
        <v>2.1984941820670771</v>
      </c>
      <c r="G28">
        <f t="shared" si="4"/>
        <v>2.6940451745379876</v>
      </c>
      <c r="H28">
        <f t="shared" si="4"/>
        <v>3.1978097193702943</v>
      </c>
      <c r="I28">
        <f t="shared" si="4"/>
        <v>3.6960985626283369</v>
      </c>
      <c r="J28">
        <f t="shared" si="4"/>
        <v>4.1998631074606436</v>
      </c>
      <c r="K28">
        <f t="shared" si="4"/>
        <v>4.6954140999315541</v>
      </c>
      <c r="L28">
        <f t="shared" si="4"/>
        <v>5.204654346338125</v>
      </c>
      <c r="M28">
        <f t="shared" si="4"/>
        <v>5.6947296372347704</v>
      </c>
      <c r="N28">
        <f t="shared" si="4"/>
        <v>6.2012320328542092</v>
      </c>
      <c r="O28">
        <f t="shared" si="4"/>
        <v>6.6995208761122518</v>
      </c>
      <c r="P28">
        <f t="shared" si="4"/>
        <v>7.1978097193702943</v>
      </c>
      <c r="Q28">
        <f t="shared" si="4"/>
        <v>7.6960985626283369</v>
      </c>
      <c r="R28">
        <f t="shared" si="4"/>
        <v>8.1998631074606436</v>
      </c>
      <c r="S28">
        <f t="shared" si="4"/>
        <v>8.6954140999315541</v>
      </c>
      <c r="T28">
        <f t="shared" si="4"/>
        <v>9.1991786447638599</v>
      </c>
      <c r="U28">
        <f t="shared" si="4"/>
        <v>9.6947296372347704</v>
      </c>
    </row>
    <row r="29" spans="1:21" x14ac:dyDescent="0.2">
      <c r="A29" t="s">
        <v>125</v>
      </c>
      <c r="B29">
        <f>$R$9</f>
        <v>0.3125</v>
      </c>
      <c r="C29">
        <f t="shared" ref="C29:T29" si="5">$R$9</f>
        <v>0.3125</v>
      </c>
      <c r="D29">
        <f t="shared" si="5"/>
        <v>0.3125</v>
      </c>
      <c r="E29">
        <f t="shared" si="5"/>
        <v>0.3125</v>
      </c>
      <c r="F29">
        <f t="shared" si="5"/>
        <v>0.3125</v>
      </c>
      <c r="G29">
        <f t="shared" si="5"/>
        <v>0.3125</v>
      </c>
      <c r="H29">
        <f t="shared" si="5"/>
        <v>0.3125</v>
      </c>
      <c r="I29">
        <f t="shared" si="5"/>
        <v>0.3125</v>
      </c>
      <c r="J29">
        <f t="shared" si="5"/>
        <v>0.3125</v>
      </c>
      <c r="K29">
        <f t="shared" si="5"/>
        <v>0.3125</v>
      </c>
      <c r="L29">
        <f t="shared" si="5"/>
        <v>0.3125</v>
      </c>
      <c r="M29">
        <f t="shared" si="5"/>
        <v>0.3125</v>
      </c>
      <c r="N29">
        <f t="shared" si="5"/>
        <v>0.3125</v>
      </c>
      <c r="O29">
        <f t="shared" si="5"/>
        <v>0.3125</v>
      </c>
      <c r="P29">
        <f t="shared" si="5"/>
        <v>0.3125</v>
      </c>
      <c r="Q29">
        <f t="shared" si="5"/>
        <v>0.3125</v>
      </c>
      <c r="R29">
        <f t="shared" si="5"/>
        <v>0.3125</v>
      </c>
      <c r="S29">
        <f t="shared" si="5"/>
        <v>0.3125</v>
      </c>
      <c r="T29">
        <f t="shared" si="5"/>
        <v>0.3125</v>
      </c>
      <c r="U29">
        <f>100*(1+C24/2)</f>
        <v>100.3125</v>
      </c>
    </row>
    <row r="30" spans="1:21" x14ac:dyDescent="0.2">
      <c r="A30" t="s">
        <v>126</v>
      </c>
      <c r="B30">
        <f>EXP(-B28*$B$26)</f>
        <v>0.99829881023210976</v>
      </c>
      <c r="C30">
        <f t="shared" ref="C30:U30" si="6">EXP(-C28*$B$26)</f>
        <v>0.9941271046313469</v>
      </c>
      <c r="D30">
        <f t="shared" si="6"/>
        <v>0.98997283181467732</v>
      </c>
      <c r="E30">
        <f t="shared" si="6"/>
        <v>0.98583591893372924</v>
      </c>
      <c r="F30">
        <f t="shared" si="6"/>
        <v>0.98169370575990855</v>
      </c>
      <c r="G30">
        <f t="shared" si="6"/>
        <v>0.97761388310633646</v>
      </c>
      <c r="H30">
        <f t="shared" si="6"/>
        <v>0.97348381789635863</v>
      </c>
      <c r="I30">
        <f t="shared" si="6"/>
        <v>0.96941580954680839</v>
      </c>
      <c r="J30">
        <f t="shared" si="6"/>
        <v>0.96532037823369121</v>
      </c>
      <c r="K30">
        <f t="shared" si="6"/>
        <v>0.9613086015217035</v>
      </c>
      <c r="L30">
        <f t="shared" si="6"/>
        <v>0.95720337134630806</v>
      </c>
      <c r="M30">
        <f t="shared" si="6"/>
        <v>0.95326919394024212</v>
      </c>
      <c r="N30">
        <f t="shared" si="6"/>
        <v>0.94922013573665132</v>
      </c>
      <c r="O30">
        <f t="shared" si="6"/>
        <v>0.94525352081532443</v>
      </c>
      <c r="P30">
        <f t="shared" si="6"/>
        <v>0.94130348164217426</v>
      </c>
      <c r="Q30">
        <f t="shared" si="6"/>
        <v>0.93736994895022274</v>
      </c>
      <c r="R30">
        <f t="shared" si="6"/>
        <v>0.93340989981227795</v>
      </c>
      <c r="S30">
        <f t="shared" si="6"/>
        <v>0.9295307399154803</v>
      </c>
      <c r="T30">
        <f t="shared" si="6"/>
        <v>0.9256038086015228</v>
      </c>
      <c r="U30">
        <f t="shared" si="6"/>
        <v>0.92175709005335627</v>
      </c>
    </row>
    <row r="31" spans="1:21" x14ac:dyDescent="0.2">
      <c r="A31" t="s">
        <v>127</v>
      </c>
      <c r="B31">
        <f>B29*B30</f>
        <v>0.31196837819753431</v>
      </c>
      <c r="C31">
        <f t="shared" ref="C31:U31" si="7">C29*C30</f>
        <v>0.31066472019729591</v>
      </c>
      <c r="D31">
        <f t="shared" si="7"/>
        <v>0.30936650994208664</v>
      </c>
      <c r="E31">
        <f t="shared" si="7"/>
        <v>0.30807372466679039</v>
      </c>
      <c r="F31">
        <f t="shared" si="7"/>
        <v>0.30677928304997143</v>
      </c>
      <c r="G31">
        <f t="shared" si="7"/>
        <v>0.30550433847073016</v>
      </c>
      <c r="H31">
        <f t="shared" si="7"/>
        <v>0.30421369309261209</v>
      </c>
      <c r="I31">
        <f t="shared" si="7"/>
        <v>0.3029424404833776</v>
      </c>
      <c r="J31">
        <f t="shared" si="7"/>
        <v>0.30166261819802853</v>
      </c>
      <c r="K31">
        <f t="shared" si="7"/>
        <v>0.30040893797553236</v>
      </c>
      <c r="L31">
        <f t="shared" si="7"/>
        <v>0.29912605354572125</v>
      </c>
      <c r="M31">
        <f t="shared" si="7"/>
        <v>0.29789662310632564</v>
      </c>
      <c r="N31">
        <f t="shared" si="7"/>
        <v>0.29663129241770353</v>
      </c>
      <c r="O31">
        <f t="shared" si="7"/>
        <v>0.29539172525478891</v>
      </c>
      <c r="P31">
        <f t="shared" si="7"/>
        <v>0.29415733801317945</v>
      </c>
      <c r="Q31">
        <f t="shared" si="7"/>
        <v>0.29292810904694461</v>
      </c>
      <c r="R31">
        <f t="shared" si="7"/>
        <v>0.29169059369133687</v>
      </c>
      <c r="S31">
        <f t="shared" si="7"/>
        <v>0.29047835622358759</v>
      </c>
      <c r="T31">
        <f t="shared" si="7"/>
        <v>0.28925119018797585</v>
      </c>
      <c r="U31">
        <f t="shared" si="7"/>
        <v>92.463758095977298</v>
      </c>
    </row>
    <row r="32" spans="1:21" x14ac:dyDescent="0.2">
      <c r="A32" s="8">
        <f>SUM(B31:U31)</f>
        <v>98.172894021738827</v>
      </c>
    </row>
    <row r="33" spans="1:11" x14ac:dyDescent="0.2">
      <c r="A33" t="s">
        <v>151</v>
      </c>
      <c r="C33" s="11">
        <f>(K25-A32)^2</f>
        <v>8.9059240755831349E-26</v>
      </c>
    </row>
    <row r="36" spans="1:11" x14ac:dyDescent="0.2">
      <c r="A36" t="s">
        <v>161</v>
      </c>
    </row>
    <row r="37" spans="1:11" x14ac:dyDescent="0.2">
      <c r="C37" t="s">
        <v>164</v>
      </c>
    </row>
    <row r="39" spans="1:11" x14ac:dyDescent="0.2">
      <c r="A39" t="s">
        <v>165</v>
      </c>
    </row>
    <row r="40" spans="1:11" x14ac:dyDescent="0.2">
      <c r="A40" t="s">
        <v>166</v>
      </c>
    </row>
    <row r="41" spans="1:11" x14ac:dyDescent="0.2">
      <c r="A41" t="s">
        <v>167</v>
      </c>
      <c r="F41" t="s">
        <v>201</v>
      </c>
    </row>
    <row r="42" spans="1:11" x14ac:dyDescent="0.2">
      <c r="A42" t="s">
        <v>169</v>
      </c>
      <c r="B42" s="12">
        <v>50000000</v>
      </c>
    </row>
    <row r="43" spans="1:11" x14ac:dyDescent="0.2">
      <c r="A43" t="s">
        <v>168</v>
      </c>
      <c r="C43" s="14">
        <f>B42*K25/100</f>
        <v>49086447.010869563</v>
      </c>
    </row>
    <row r="44" spans="1:11" x14ac:dyDescent="0.2">
      <c r="A44" t="s">
        <v>170</v>
      </c>
      <c r="C44" t="s">
        <v>171</v>
      </c>
      <c r="E44">
        <v>1.5E-3</v>
      </c>
      <c r="F44" t="s">
        <v>172</v>
      </c>
      <c r="G44">
        <v>0.01</v>
      </c>
      <c r="I44" t="s">
        <v>174</v>
      </c>
      <c r="K44">
        <v>8.5000000000000006E-2</v>
      </c>
    </row>
    <row r="45" spans="1:11" x14ac:dyDescent="0.2">
      <c r="B45" t="s">
        <v>23</v>
      </c>
      <c r="C45" s="14">
        <f>(1-G44)*C43</f>
        <v>48595582.540760867</v>
      </c>
    </row>
    <row r="46" spans="1:11" x14ac:dyDescent="0.2">
      <c r="B46" t="s">
        <v>173</v>
      </c>
      <c r="C46" s="14">
        <f>C43-C45</f>
        <v>490864.47010869533</v>
      </c>
    </row>
    <row r="48" spans="1:11" x14ac:dyDescent="0.2">
      <c r="A48" t="s">
        <v>177</v>
      </c>
      <c r="D48" s="1">
        <v>44151</v>
      </c>
      <c r="E48" t="s">
        <v>176</v>
      </c>
      <c r="G48">
        <f>D48-F8</f>
        <v>74</v>
      </c>
    </row>
    <row r="49" spans="1:31" x14ac:dyDescent="0.2">
      <c r="A49" t="s">
        <v>175</v>
      </c>
    </row>
    <row r="50" spans="1:31" x14ac:dyDescent="0.2">
      <c r="B50" t="s">
        <v>34</v>
      </c>
      <c r="C50" s="14">
        <f>G48/360*E44*C45</f>
        <v>14983.637950067932</v>
      </c>
    </row>
    <row r="51" spans="1:31" x14ac:dyDescent="0.2">
      <c r="B51" t="s">
        <v>178</v>
      </c>
      <c r="C51" s="14">
        <f>C46*(EXP(G48/365.25*K44)-1)</f>
        <v>8526.4234179425493</v>
      </c>
    </row>
    <row r="53" spans="1:31" x14ac:dyDescent="0.2">
      <c r="B53" t="s">
        <v>179</v>
      </c>
      <c r="C53" s="13">
        <f>B42*C24</f>
        <v>312500</v>
      </c>
    </row>
    <row r="54" spans="1:31" x14ac:dyDescent="0.2">
      <c r="D54" t="s">
        <v>202</v>
      </c>
      <c r="G54">
        <v>3.1700000000000001E-4</v>
      </c>
      <c r="H54" t="s">
        <v>208</v>
      </c>
    </row>
    <row r="55" spans="1:31" x14ac:dyDescent="0.2">
      <c r="A55" t="s">
        <v>180</v>
      </c>
      <c r="H55" t="s">
        <v>181</v>
      </c>
      <c r="I55" s="1">
        <v>44150</v>
      </c>
      <c r="J55" t="s">
        <v>11</v>
      </c>
      <c r="K55" s="1">
        <v>44331</v>
      </c>
      <c r="M55" s="1">
        <v>44333</v>
      </c>
      <c r="N55" s="1">
        <v>44515</v>
      </c>
      <c r="O55" s="1">
        <v>44697</v>
      </c>
      <c r="P55" s="1">
        <v>44880</v>
      </c>
      <c r="Q55" s="1">
        <v>45061</v>
      </c>
      <c r="R55" s="1">
        <v>45245</v>
      </c>
      <c r="S55" s="1">
        <v>45427</v>
      </c>
      <c r="T55" s="1">
        <v>45611</v>
      </c>
      <c r="U55" s="1">
        <v>45792</v>
      </c>
      <c r="V55" s="1">
        <v>45978</v>
      </c>
      <c r="W55" s="1">
        <v>46157</v>
      </c>
      <c r="X55" s="1">
        <v>46342</v>
      </c>
      <c r="Y55" s="1">
        <v>46524</v>
      </c>
      <c r="Z55" s="1">
        <v>46706</v>
      </c>
      <c r="AA55" s="1">
        <v>46888</v>
      </c>
      <c r="AB55" s="1">
        <v>47072</v>
      </c>
      <c r="AC55" s="1">
        <v>47253</v>
      </c>
      <c r="AD55" s="1">
        <v>47437</v>
      </c>
      <c r="AE55" s="1">
        <v>47618</v>
      </c>
    </row>
    <row r="56" spans="1:31" x14ac:dyDescent="0.2">
      <c r="A56" t="s">
        <v>157</v>
      </c>
      <c r="B56">
        <f>R24*(D48-I55)/(K55-I55)</f>
        <v>1.7265193370165745E-3</v>
      </c>
      <c r="C56" t="s">
        <v>183</v>
      </c>
      <c r="D56">
        <f>0.0065+G54</f>
        <v>6.8170000000000001E-3</v>
      </c>
      <c r="E56">
        <f>0.0075+G54</f>
        <v>7.8169999999999993E-3</v>
      </c>
      <c r="F56">
        <f>0.0085+G54</f>
        <v>8.8170000000000002E-3</v>
      </c>
      <c r="G56">
        <f>G54+0.0095</f>
        <v>9.8169999999999993E-3</v>
      </c>
      <c r="H56">
        <f>0.0105+G54</f>
        <v>1.0817E-2</v>
      </c>
      <c r="L56" t="s">
        <v>182</v>
      </c>
      <c r="M56">
        <f>(M55-$D$48)/365.25</f>
        <v>0.49828884325804246</v>
      </c>
      <c r="N56">
        <f t="shared" ref="N56:AE56" si="8">(N55-$D$48)/365.25</f>
        <v>0.99657768651608492</v>
      </c>
      <c r="O56">
        <f t="shared" si="8"/>
        <v>1.4948665297741273</v>
      </c>
      <c r="P56">
        <f t="shared" si="8"/>
        <v>1.9958932238193019</v>
      </c>
      <c r="Q56">
        <f t="shared" si="8"/>
        <v>2.4914442162902124</v>
      </c>
      <c r="R56">
        <f t="shared" si="8"/>
        <v>2.9952087611225187</v>
      </c>
      <c r="S56">
        <f t="shared" si="8"/>
        <v>3.4934976043805612</v>
      </c>
      <c r="T56">
        <f t="shared" si="8"/>
        <v>3.9972621492128679</v>
      </c>
      <c r="U56">
        <f t="shared" si="8"/>
        <v>4.4928131416837784</v>
      </c>
      <c r="V56">
        <f t="shared" si="8"/>
        <v>5.0020533880903493</v>
      </c>
      <c r="W56">
        <f t="shared" si="8"/>
        <v>5.4921286789869956</v>
      </c>
      <c r="X56">
        <f t="shared" si="8"/>
        <v>5.9986310746064335</v>
      </c>
      <c r="Y56">
        <f t="shared" si="8"/>
        <v>6.4969199178644761</v>
      </c>
      <c r="Z56">
        <f t="shared" si="8"/>
        <v>6.9952087611225187</v>
      </c>
      <c r="AA56">
        <f t="shared" si="8"/>
        <v>7.4934976043805612</v>
      </c>
      <c r="AB56">
        <f t="shared" si="8"/>
        <v>7.9972621492128679</v>
      </c>
      <c r="AC56">
        <f t="shared" si="8"/>
        <v>8.4928131416837775</v>
      </c>
      <c r="AD56">
        <f t="shared" si="8"/>
        <v>8.9965776865160851</v>
      </c>
      <c r="AE56">
        <f t="shared" si="8"/>
        <v>9.4921286789869956</v>
      </c>
    </row>
    <row r="57" spans="1:31" x14ac:dyDescent="0.2">
      <c r="D57">
        <v>99.473836933197163</v>
      </c>
      <c r="E57">
        <v>98.560022468057426</v>
      </c>
      <c r="F57">
        <v>97.654755784671025</v>
      </c>
      <c r="G57">
        <v>96.757956530616809</v>
      </c>
      <c r="H57">
        <v>95.8695451103235</v>
      </c>
      <c r="L57" t="s">
        <v>126</v>
      </c>
      <c r="M57">
        <f>EXP(-$G$56*M56)</f>
        <v>0.99512024331300331</v>
      </c>
      <c r="N57">
        <f t="shared" ref="N57:AE57" si="9">EXP(-$G$56*N56)</f>
        <v>0.99026429865133092</v>
      </c>
      <c r="O57">
        <f t="shared" si="9"/>
        <v>0.98543204981809307</v>
      </c>
      <c r="P57">
        <f t="shared" si="9"/>
        <v>0.98059702485114009</v>
      </c>
      <c r="Q57">
        <f t="shared" si="9"/>
        <v>0.97583817768165726</v>
      </c>
      <c r="R57">
        <f t="shared" si="9"/>
        <v>0.97102412604038901</v>
      </c>
      <c r="S57">
        <f t="shared" si="9"/>
        <v>0.96628576456810833</v>
      </c>
      <c r="T57">
        <f t="shared" si="9"/>
        <v>0.96151883734877719</v>
      </c>
      <c r="U57">
        <f t="shared" si="9"/>
        <v>0.95685257681406233</v>
      </c>
      <c r="V57">
        <f t="shared" si="9"/>
        <v>0.95208100539422102</v>
      </c>
      <c r="W57">
        <f t="shared" si="9"/>
        <v>0.94751147882731501</v>
      </c>
      <c r="X57">
        <f t="shared" si="9"/>
        <v>0.94281182906596228</v>
      </c>
      <c r="Y57">
        <f t="shared" si="9"/>
        <v>0.9382111367384981</v>
      </c>
      <c r="Z57">
        <f t="shared" si="9"/>
        <v>0.93363289467018362</v>
      </c>
      <c r="AA57">
        <f t="shared" si="9"/>
        <v>0.92907699330921667</v>
      </c>
      <c r="AB57">
        <f t="shared" si="9"/>
        <v>0.92449362618257835</v>
      </c>
      <c r="AC57">
        <f t="shared" si="9"/>
        <v>0.92000704936797739</v>
      </c>
      <c r="AD57">
        <f t="shared" si="9"/>
        <v>0.91546842652324467</v>
      </c>
      <c r="AE57">
        <f t="shared" si="9"/>
        <v>0.91102564909285999</v>
      </c>
    </row>
    <row r="58" spans="1:31" x14ac:dyDescent="0.2">
      <c r="L58" t="s">
        <v>184</v>
      </c>
      <c r="M58">
        <f>C29</f>
        <v>0.3125</v>
      </c>
      <c r="N58">
        <f t="shared" ref="N58:AE58" si="10">D29</f>
        <v>0.3125</v>
      </c>
      <c r="O58">
        <f t="shared" si="10"/>
        <v>0.3125</v>
      </c>
      <c r="P58">
        <f t="shared" si="10"/>
        <v>0.3125</v>
      </c>
      <c r="Q58">
        <f t="shared" si="10"/>
        <v>0.3125</v>
      </c>
      <c r="R58">
        <f t="shared" si="10"/>
        <v>0.3125</v>
      </c>
      <c r="S58">
        <f t="shared" si="10"/>
        <v>0.3125</v>
      </c>
      <c r="T58">
        <f t="shared" si="10"/>
        <v>0.3125</v>
      </c>
      <c r="U58">
        <f t="shared" si="10"/>
        <v>0.3125</v>
      </c>
      <c r="V58">
        <f t="shared" si="10"/>
        <v>0.3125</v>
      </c>
      <c r="W58">
        <f t="shared" si="10"/>
        <v>0.3125</v>
      </c>
      <c r="X58">
        <f t="shared" si="10"/>
        <v>0.3125</v>
      </c>
      <c r="Y58">
        <f t="shared" si="10"/>
        <v>0.3125</v>
      </c>
      <c r="Z58">
        <f t="shared" si="10"/>
        <v>0.3125</v>
      </c>
      <c r="AA58">
        <f t="shared" si="10"/>
        <v>0.3125</v>
      </c>
      <c r="AB58">
        <f t="shared" si="10"/>
        <v>0.3125</v>
      </c>
      <c r="AC58">
        <f t="shared" si="10"/>
        <v>0.3125</v>
      </c>
      <c r="AD58">
        <f t="shared" si="10"/>
        <v>0.3125</v>
      </c>
      <c r="AE58">
        <f t="shared" si="10"/>
        <v>100.3125</v>
      </c>
    </row>
    <row r="59" spans="1:31" x14ac:dyDescent="0.2">
      <c r="L59" t="s">
        <v>127</v>
      </c>
      <c r="M59">
        <f>M57*M58</f>
        <v>0.31097507603531355</v>
      </c>
      <c r="N59">
        <f t="shared" ref="N59:AE59" si="11">N57*N58</f>
        <v>0.30945759332854089</v>
      </c>
      <c r="O59">
        <f t="shared" si="11"/>
        <v>0.30794751556815408</v>
      </c>
      <c r="P59">
        <f t="shared" si="11"/>
        <v>0.30643657026598126</v>
      </c>
      <c r="Q59">
        <f t="shared" si="11"/>
        <v>0.30494943052551787</v>
      </c>
      <c r="R59">
        <f t="shared" si="11"/>
        <v>0.30344503938762157</v>
      </c>
      <c r="S59">
        <f t="shared" si="11"/>
        <v>0.30196430142753383</v>
      </c>
      <c r="T59">
        <f t="shared" si="11"/>
        <v>0.30047463667149288</v>
      </c>
      <c r="U59">
        <f t="shared" si="11"/>
        <v>0.29901643025439451</v>
      </c>
      <c r="V59">
        <f t="shared" si="11"/>
        <v>0.29752531418569406</v>
      </c>
      <c r="W59">
        <f t="shared" si="11"/>
        <v>0.29609733713353592</v>
      </c>
      <c r="X59">
        <f t="shared" si="11"/>
        <v>0.29462869658311319</v>
      </c>
      <c r="Y59">
        <f t="shared" si="11"/>
        <v>0.29319098023078066</v>
      </c>
      <c r="Z59">
        <f t="shared" si="11"/>
        <v>0.2917602795844324</v>
      </c>
      <c r="AA59">
        <f t="shared" si="11"/>
        <v>0.2903365604091302</v>
      </c>
      <c r="AB59">
        <f t="shared" si="11"/>
        <v>0.28890425818205573</v>
      </c>
      <c r="AC59">
        <f t="shared" si="11"/>
        <v>0.28750220292749296</v>
      </c>
      <c r="AD59">
        <f t="shared" si="11"/>
        <v>0.28608388328851397</v>
      </c>
      <c r="AE59">
        <f t="shared" si="11"/>
        <v>91.387260424627513</v>
      </c>
    </row>
    <row r="60" spans="1:31" x14ac:dyDescent="0.2">
      <c r="L60">
        <f>SUM(M59:AE59)</f>
        <v>96.757956530616809</v>
      </c>
    </row>
    <row r="61" spans="1:31" x14ac:dyDescent="0.2">
      <c r="C61" t="s">
        <v>185</v>
      </c>
      <c r="D61" s="14">
        <f>$B$42*(D57-$K$25)/100</f>
        <v>650471.45572901855</v>
      </c>
      <c r="E61" s="14">
        <f t="shared" ref="E61:H61" si="12">$B$42*(E57-$K$25)/100</f>
        <v>193564.2231591501</v>
      </c>
      <c r="F61" s="14">
        <f t="shared" si="12"/>
        <v>-259069.11853405036</v>
      </c>
      <c r="G61" s="14">
        <f t="shared" si="12"/>
        <v>-707468.74556115805</v>
      </c>
      <c r="H61" s="14">
        <f t="shared" si="12"/>
        <v>-1151674.4557078127</v>
      </c>
      <c r="L61" t="s">
        <v>195</v>
      </c>
    </row>
    <row r="62" spans="1:31" x14ac:dyDescent="0.2">
      <c r="C62" t="s">
        <v>186</v>
      </c>
      <c r="D62" s="13">
        <f>$C$53</f>
        <v>312500</v>
      </c>
      <c r="E62" s="13">
        <f t="shared" ref="E62:H62" si="13">$C$53</f>
        <v>312500</v>
      </c>
      <c r="F62" s="13">
        <f t="shared" si="13"/>
        <v>312500</v>
      </c>
      <c r="G62" s="13">
        <f t="shared" si="13"/>
        <v>312500</v>
      </c>
      <c r="H62" s="13">
        <f t="shared" si="13"/>
        <v>312500</v>
      </c>
    </row>
    <row r="63" spans="1:31" x14ac:dyDescent="0.2">
      <c r="C63" s="5" t="s">
        <v>187</v>
      </c>
      <c r="D63" s="14">
        <f>$C$50+$C$51</f>
        <v>23510.06136801048</v>
      </c>
      <c r="E63" s="14">
        <f t="shared" ref="E63:H63" si="14">$C$50+$C$51</f>
        <v>23510.06136801048</v>
      </c>
      <c r="F63" s="14">
        <f t="shared" si="14"/>
        <v>23510.06136801048</v>
      </c>
      <c r="G63" s="14">
        <f t="shared" si="14"/>
        <v>23510.06136801048</v>
      </c>
      <c r="H63" s="14">
        <f t="shared" si="14"/>
        <v>23510.06136801048</v>
      </c>
    </row>
    <row r="64" spans="1:31" x14ac:dyDescent="0.2">
      <c r="C64" t="s">
        <v>188</v>
      </c>
      <c r="D64" s="14">
        <f>D61+D62-D63</f>
        <v>939461.39436100808</v>
      </c>
      <c r="E64" s="14">
        <f t="shared" ref="E64:H64" si="15">E61+E62-E63</f>
        <v>482554.16179113963</v>
      </c>
      <c r="F64" s="14">
        <f t="shared" si="15"/>
        <v>29920.820097939162</v>
      </c>
      <c r="G64" s="14">
        <f t="shared" si="15"/>
        <v>-418478.80692916852</v>
      </c>
      <c r="H64" s="14">
        <f t="shared" si="15"/>
        <v>-862684.51707582315</v>
      </c>
    </row>
    <row r="66" spans="1:32" x14ac:dyDescent="0.2">
      <c r="C66" t="s">
        <v>203</v>
      </c>
      <c r="D66">
        <f>D56-2*$G$54</f>
        <v>6.1830000000000001E-3</v>
      </c>
      <c r="E66">
        <f t="shared" ref="E66:H66" si="16">E56-2*$G$54</f>
        <v>7.1829999999999993E-3</v>
      </c>
      <c r="F66">
        <f t="shared" si="16"/>
        <v>8.1829999999999993E-3</v>
      </c>
      <c r="G66">
        <f t="shared" si="16"/>
        <v>9.1830000000000002E-3</v>
      </c>
      <c r="H66">
        <f t="shared" si="16"/>
        <v>1.0183000000000001E-2</v>
      </c>
    </row>
    <row r="68" spans="1:32" x14ac:dyDescent="0.2">
      <c r="A68" t="s">
        <v>189</v>
      </c>
    </row>
    <row r="69" spans="1:32" x14ac:dyDescent="0.2">
      <c r="A69" t="s">
        <v>190</v>
      </c>
      <c r="C69" s="14">
        <f>B42*C12/100</f>
        <v>49539572.010869563</v>
      </c>
    </row>
    <row r="70" spans="1:32" x14ac:dyDescent="0.2">
      <c r="A70" t="s">
        <v>191</v>
      </c>
    </row>
    <row r="71" spans="1:32" x14ac:dyDescent="0.2">
      <c r="A71" t="s">
        <v>192</v>
      </c>
      <c r="B71" t="s">
        <v>193</v>
      </c>
      <c r="C71">
        <v>1.7999999999999999E-2</v>
      </c>
    </row>
    <row r="72" spans="1:32" x14ac:dyDescent="0.2">
      <c r="A72" t="s">
        <v>194</v>
      </c>
      <c r="C72">
        <f>E44-C71</f>
        <v>-1.6499999999999997E-2</v>
      </c>
    </row>
    <row r="73" spans="1:32" x14ac:dyDescent="0.2">
      <c r="A73" t="s">
        <v>23</v>
      </c>
      <c r="C73" s="14">
        <f>(1+G44)*C69</f>
        <v>50034967.730978258</v>
      </c>
      <c r="D73" t="s">
        <v>210</v>
      </c>
    </row>
    <row r="74" spans="1:32" x14ac:dyDescent="0.2">
      <c r="A74" t="s">
        <v>73</v>
      </c>
      <c r="C74" s="14">
        <f>C73-C69</f>
        <v>495395.72010869533</v>
      </c>
      <c r="D74" t="s">
        <v>211</v>
      </c>
      <c r="L74" t="s">
        <v>149</v>
      </c>
      <c r="M74">
        <f>H66</f>
        <v>1.0183000000000001E-2</v>
      </c>
    </row>
    <row r="75" spans="1:32" x14ac:dyDescent="0.2">
      <c r="A75" t="s">
        <v>197</v>
      </c>
      <c r="L75" s="1" t="str">
        <f>A15</f>
        <v>Date:</v>
      </c>
      <c r="M75" s="1">
        <f>B15</f>
        <v>44243</v>
      </c>
      <c r="N75" s="1">
        <f t="shared" ref="N75:AE75" si="17">C15</f>
        <v>44424</v>
      </c>
      <c r="O75" s="1">
        <f t="shared" si="17"/>
        <v>44607</v>
      </c>
      <c r="P75" s="1">
        <f t="shared" si="17"/>
        <v>44788</v>
      </c>
      <c r="Q75" s="1">
        <f t="shared" si="17"/>
        <v>44972</v>
      </c>
      <c r="R75" s="1">
        <f t="shared" si="17"/>
        <v>45153</v>
      </c>
      <c r="S75" s="1">
        <f t="shared" si="17"/>
        <v>45337</v>
      </c>
      <c r="T75" s="1">
        <f t="shared" si="17"/>
        <v>45519</v>
      </c>
      <c r="U75" s="1">
        <f t="shared" si="17"/>
        <v>45706</v>
      </c>
      <c r="V75" s="1">
        <f t="shared" si="17"/>
        <v>45884</v>
      </c>
      <c r="W75" s="1">
        <f t="shared" si="17"/>
        <v>46070</v>
      </c>
      <c r="X75" s="1">
        <f t="shared" si="17"/>
        <v>46251</v>
      </c>
      <c r="Y75" s="1">
        <f t="shared" si="17"/>
        <v>46434</v>
      </c>
      <c r="Z75" s="1">
        <f t="shared" si="17"/>
        <v>46615</v>
      </c>
      <c r="AA75" s="1">
        <f t="shared" si="17"/>
        <v>46798</v>
      </c>
      <c r="AB75" s="1">
        <f t="shared" si="17"/>
        <v>46980</v>
      </c>
      <c r="AC75" s="1">
        <f t="shared" si="17"/>
        <v>47164</v>
      </c>
      <c r="AD75" s="1">
        <f t="shared" si="17"/>
        <v>47345</v>
      </c>
      <c r="AE75" s="1">
        <f t="shared" si="17"/>
        <v>47529</v>
      </c>
      <c r="AF75" s="1">
        <f>U15</f>
        <v>47710</v>
      </c>
    </row>
    <row r="76" spans="1:32" x14ac:dyDescent="0.2">
      <c r="D76">
        <v>100.21395599653495</v>
      </c>
      <c r="E76">
        <v>99.271101498149093</v>
      </c>
      <c r="F76">
        <v>98.337296998444998</v>
      </c>
      <c r="G76">
        <v>97.412455188104843</v>
      </c>
      <c r="H76">
        <v>96.49648960184156</v>
      </c>
      <c r="L76" s="1" t="str">
        <f>A16</f>
        <v>T (Yrs):</v>
      </c>
      <c r="M76">
        <f>(M75-$D$48)/365.25</f>
        <v>0.2518822724161533</v>
      </c>
      <c r="N76">
        <f t="shared" ref="N76:AD76" si="18">(N75-$D$48)/365.25</f>
        <v>0.74743326488706363</v>
      </c>
      <c r="O76">
        <f t="shared" si="18"/>
        <v>1.2484599589322383</v>
      </c>
      <c r="P76">
        <f t="shared" si="18"/>
        <v>1.7440109514031485</v>
      </c>
      <c r="Q76">
        <f t="shared" si="18"/>
        <v>2.2477754962354553</v>
      </c>
      <c r="R76">
        <f t="shared" si="18"/>
        <v>2.7433264887063653</v>
      </c>
      <c r="S76">
        <f t="shared" si="18"/>
        <v>3.247091033538672</v>
      </c>
      <c r="T76">
        <f t="shared" si="18"/>
        <v>3.7453798767967146</v>
      </c>
      <c r="U76">
        <f t="shared" si="18"/>
        <v>4.2573579739904179</v>
      </c>
      <c r="V76">
        <f t="shared" si="18"/>
        <v>4.7446954140999313</v>
      </c>
      <c r="W76">
        <f t="shared" si="18"/>
        <v>5.2539356605065022</v>
      </c>
      <c r="X76">
        <f t="shared" si="18"/>
        <v>5.7494866529774127</v>
      </c>
      <c r="Y76">
        <f t="shared" si="18"/>
        <v>6.2505133470225873</v>
      </c>
      <c r="Z76">
        <f t="shared" si="18"/>
        <v>6.7460643394934978</v>
      </c>
      <c r="AA76">
        <f t="shared" si="18"/>
        <v>7.2470910335386725</v>
      </c>
      <c r="AB76">
        <f t="shared" si="18"/>
        <v>7.7453798767967141</v>
      </c>
      <c r="AC76">
        <f t="shared" si="18"/>
        <v>8.2491444216290208</v>
      </c>
      <c r="AD76">
        <f t="shared" si="18"/>
        <v>8.7446954140999313</v>
      </c>
      <c r="AE76">
        <f>(AE75-$D$48)/365.25</f>
        <v>9.2484599589322389</v>
      </c>
      <c r="AF76">
        <f t="shared" ref="AF76" si="19">(AF75-$D$48)/365.25</f>
        <v>9.7440109514031477</v>
      </c>
    </row>
    <row r="77" spans="1:32" x14ac:dyDescent="0.2">
      <c r="L77" s="1" t="str">
        <f>A17</f>
        <v>Cash Flow:</v>
      </c>
      <c r="M77" s="15">
        <f>B17</f>
        <v>0.3125</v>
      </c>
      <c r="N77" s="15">
        <f t="shared" ref="N77:AF77" si="20">C17</f>
        <v>0.3125</v>
      </c>
      <c r="O77" s="15">
        <f t="shared" si="20"/>
        <v>0.3125</v>
      </c>
      <c r="P77" s="15">
        <f t="shared" si="20"/>
        <v>0.3125</v>
      </c>
      <c r="Q77" s="15">
        <f t="shared" si="20"/>
        <v>0.3125</v>
      </c>
      <c r="R77" s="15">
        <f t="shared" si="20"/>
        <v>0.3125</v>
      </c>
      <c r="S77" s="15">
        <f t="shared" si="20"/>
        <v>0.3125</v>
      </c>
      <c r="T77" s="15">
        <f t="shared" si="20"/>
        <v>0.3125</v>
      </c>
      <c r="U77" s="15">
        <f t="shared" si="20"/>
        <v>0.3125</v>
      </c>
      <c r="V77" s="15">
        <f t="shared" si="20"/>
        <v>0.3125</v>
      </c>
      <c r="W77" s="15">
        <f t="shared" si="20"/>
        <v>0.3125</v>
      </c>
      <c r="X77" s="15">
        <f t="shared" si="20"/>
        <v>0.3125</v>
      </c>
      <c r="Y77" s="15">
        <f t="shared" si="20"/>
        <v>0.3125</v>
      </c>
      <c r="Z77" s="15">
        <f t="shared" si="20"/>
        <v>0.3125</v>
      </c>
      <c r="AA77" s="15">
        <f t="shared" si="20"/>
        <v>0.3125</v>
      </c>
      <c r="AB77" s="15">
        <f t="shared" si="20"/>
        <v>0.3125</v>
      </c>
      <c r="AC77" s="15">
        <f t="shared" si="20"/>
        <v>0.3125</v>
      </c>
      <c r="AD77" s="15">
        <f t="shared" si="20"/>
        <v>0.3125</v>
      </c>
      <c r="AE77" s="15">
        <f t="shared" si="20"/>
        <v>0.3125</v>
      </c>
      <c r="AF77" s="15">
        <f t="shared" si="20"/>
        <v>100.3125</v>
      </c>
    </row>
    <row r="78" spans="1:32" x14ac:dyDescent="0.2">
      <c r="C78" t="s">
        <v>185</v>
      </c>
      <c r="D78" s="14">
        <f>$B$42*($C$12-D76)/100</f>
        <v>-567405.98739791184</v>
      </c>
      <c r="E78" s="14">
        <f t="shared" ref="E78:H78" si="21">$B$42*($C$12-E76)/100</f>
        <v>-95978.738204983922</v>
      </c>
      <c r="F78" s="14">
        <f t="shared" si="21"/>
        <v>370923.51164706371</v>
      </c>
      <c r="G78" s="14">
        <f t="shared" si="21"/>
        <v>833344.41681714123</v>
      </c>
      <c r="H78" s="14">
        <f t="shared" si="21"/>
        <v>1291327.2099487826</v>
      </c>
      <c r="L78" s="1" t="str">
        <f>A18</f>
        <v>df (@ytm):</v>
      </c>
      <c r="M78">
        <f>EXP(-$M$74*M76)</f>
        <v>0.99743836940951269</v>
      </c>
      <c r="N78">
        <f t="shared" ref="N78:AF78" si="22">EXP(-$M$74*N76)</f>
        <v>0.99241777823925348</v>
      </c>
      <c r="O78">
        <f t="shared" si="22"/>
        <v>0.98736740191769279</v>
      </c>
      <c r="P78">
        <f t="shared" si="22"/>
        <v>0.98239750281224292</v>
      </c>
      <c r="Q78">
        <f t="shared" si="22"/>
        <v>0.97737087026635161</v>
      </c>
      <c r="R78">
        <f t="shared" si="22"/>
        <v>0.97245128855401708</v>
      </c>
      <c r="S78">
        <f t="shared" si="22"/>
        <v>0.96747554779495926</v>
      </c>
      <c r="T78">
        <f t="shared" si="22"/>
        <v>0.9625789374139887</v>
      </c>
      <c r="U78">
        <f t="shared" si="22"/>
        <v>0.95757361703673283</v>
      </c>
      <c r="V78">
        <f t="shared" si="22"/>
        <v>0.95283337482392927</v>
      </c>
      <c r="W78">
        <f t="shared" si="22"/>
        <v>0.94790515724616908</v>
      </c>
      <c r="X78">
        <f t="shared" si="22"/>
        <v>0.94313389076127274</v>
      </c>
      <c r="Y78">
        <f t="shared" si="22"/>
        <v>0.93833431826831215</v>
      </c>
      <c r="Z78">
        <f t="shared" si="22"/>
        <v>0.93361122645880223</v>
      </c>
      <c r="AA78">
        <f t="shared" si="22"/>
        <v>0.9288601144422316</v>
      </c>
      <c r="AB78">
        <f t="shared" si="22"/>
        <v>0.92415894541608568</v>
      </c>
      <c r="AC78">
        <f t="shared" si="22"/>
        <v>0.91943030205196175</v>
      </c>
      <c r="AD78">
        <f t="shared" si="22"/>
        <v>0.91480236332640064</v>
      </c>
      <c r="AE78">
        <f t="shared" si="22"/>
        <v>0.91012159477864751</v>
      </c>
      <c r="AF78">
        <f t="shared" si="22"/>
        <v>0.90554051129244373</v>
      </c>
    </row>
    <row r="79" spans="1:32" x14ac:dyDescent="0.2">
      <c r="C79" t="s">
        <v>196</v>
      </c>
      <c r="D79" s="14">
        <f>C73*C72/360*G48</f>
        <v>-169701.93222090122</v>
      </c>
      <c r="E79" s="14">
        <f>D79</f>
        <v>-169701.93222090122</v>
      </c>
      <c r="F79" s="14">
        <f t="shared" ref="F79:H80" si="23">E79</f>
        <v>-169701.93222090122</v>
      </c>
      <c r="G79" s="14">
        <f t="shared" si="23"/>
        <v>-169701.93222090122</v>
      </c>
      <c r="H79" s="14">
        <f t="shared" si="23"/>
        <v>-169701.93222090122</v>
      </c>
      <c r="L79" t="s">
        <v>127</v>
      </c>
      <c r="M79">
        <f>M77*M78</f>
        <v>0.31169949044047274</v>
      </c>
      <c r="N79">
        <f t="shared" ref="N79:AF79" si="24">N77*N78</f>
        <v>0.31013055569976672</v>
      </c>
      <c r="O79">
        <f t="shared" si="24"/>
        <v>0.308552313099279</v>
      </c>
      <c r="P79">
        <f t="shared" si="24"/>
        <v>0.30699921962882593</v>
      </c>
      <c r="Q79">
        <f t="shared" si="24"/>
        <v>0.30542839695823487</v>
      </c>
      <c r="R79">
        <f t="shared" si="24"/>
        <v>0.30389102767313037</v>
      </c>
      <c r="S79">
        <f t="shared" si="24"/>
        <v>0.30233610868592475</v>
      </c>
      <c r="T79">
        <f t="shared" si="24"/>
        <v>0.30080591794187145</v>
      </c>
      <c r="U79">
        <f t="shared" si="24"/>
        <v>0.29924175532397901</v>
      </c>
      <c r="V79">
        <f t="shared" si="24"/>
        <v>0.2977604296324779</v>
      </c>
      <c r="W79">
        <f t="shared" si="24"/>
        <v>0.29622036163942783</v>
      </c>
      <c r="X79">
        <f t="shared" si="24"/>
        <v>0.2947293408628977</v>
      </c>
      <c r="Y79">
        <f t="shared" si="24"/>
        <v>0.29322947445884756</v>
      </c>
      <c r="Z79">
        <f t="shared" si="24"/>
        <v>0.29175350826837571</v>
      </c>
      <c r="AA79">
        <f t="shared" si="24"/>
        <v>0.29026878576319737</v>
      </c>
      <c r="AB79">
        <f t="shared" si="24"/>
        <v>0.28879967044252675</v>
      </c>
      <c r="AC79">
        <f t="shared" si="24"/>
        <v>0.28732196939123805</v>
      </c>
      <c r="AD79">
        <f t="shared" si="24"/>
        <v>0.28587573853950021</v>
      </c>
      <c r="AE79">
        <f t="shared" si="24"/>
        <v>0.28441299836832734</v>
      </c>
      <c r="AF79">
        <f t="shared" si="24"/>
        <v>90.837032539023255</v>
      </c>
    </row>
    <row r="80" spans="1:32" x14ac:dyDescent="0.2">
      <c r="C80" t="s">
        <v>198</v>
      </c>
      <c r="D80" s="14">
        <f>C74*(EXP(G48/365.25*K44)-1)</f>
        <v>8605.1322234586569</v>
      </c>
      <c r="E80" s="14">
        <f>D80</f>
        <v>8605.1322234586569</v>
      </c>
      <c r="F80" s="14">
        <f t="shared" si="23"/>
        <v>8605.1322234586569</v>
      </c>
      <c r="G80" s="14">
        <f t="shared" si="23"/>
        <v>8605.1322234586569</v>
      </c>
      <c r="H80" s="14">
        <f t="shared" si="23"/>
        <v>8605.1322234586569</v>
      </c>
      <c r="L80">
        <f>SUM(M79:AF79)</f>
        <v>96.49648960184156</v>
      </c>
    </row>
    <row r="81" spans="2:8" x14ac:dyDescent="0.2">
      <c r="C81" t="s">
        <v>199</v>
      </c>
      <c r="D81" s="14">
        <f>D78+D79-D80</f>
        <v>-745713.0518422717</v>
      </c>
      <c r="E81" s="14">
        <f t="shared" ref="E81:H81" si="25">E78+E79-E80</f>
        <v>-274285.80264934379</v>
      </c>
      <c r="F81" s="14">
        <f t="shared" si="25"/>
        <v>192616.44720270383</v>
      </c>
      <c r="G81" s="14">
        <f t="shared" si="25"/>
        <v>655037.35237278137</v>
      </c>
      <c r="H81" s="14">
        <f t="shared" si="25"/>
        <v>1113020.1455044227</v>
      </c>
    </row>
    <row r="84" spans="2:8" x14ac:dyDescent="0.2">
      <c r="C84" s="16" t="s">
        <v>200</v>
      </c>
      <c r="D84" s="14">
        <f>D64+D81</f>
        <v>193748.34251873638</v>
      </c>
      <c r="E84" s="14">
        <f t="shared" ref="E84:H84" si="26">E64+E81</f>
        <v>208268.35914179584</v>
      </c>
      <c r="F84" s="14">
        <f t="shared" si="26"/>
        <v>222537.267300643</v>
      </c>
      <c r="G84" s="14">
        <f t="shared" si="26"/>
        <v>236558.54544361285</v>
      </c>
      <c r="H84" s="14">
        <f t="shared" si="26"/>
        <v>250335.62842859956</v>
      </c>
    </row>
    <row r="88" spans="2:8" x14ac:dyDescent="0.2">
      <c r="B88" t="s">
        <v>204</v>
      </c>
    </row>
    <row r="89" spans="2:8" x14ac:dyDescent="0.2">
      <c r="C89" t="s">
        <v>205</v>
      </c>
    </row>
    <row r="90" spans="2:8" x14ac:dyDescent="0.2">
      <c r="C90" t="s">
        <v>206</v>
      </c>
      <c r="D90" t="s">
        <v>207</v>
      </c>
      <c r="E90" t="s">
        <v>209</v>
      </c>
    </row>
  </sheetData>
  <pageMargins left="0.7" right="0.7" top="0.75" bottom="0.75" header="0.3" footer="0.3"/>
  <ignoredErrors>
    <ignoredError sqref="M76"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Auctions</vt:lpstr>
      <vt:lpstr>Repo Fin</vt:lpstr>
      <vt:lpstr>LTCM Trade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2020-09-02T18:28:08Z</dcterms:created>
  <dcterms:modified xsi:type="dcterms:W3CDTF">2020-09-21T21:22:32Z</dcterms:modified>
</cp:coreProperties>
</file>