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amlap/classes/542/2020/Class2/"/>
    </mc:Choice>
  </mc:AlternateContent>
  <xr:revisionPtr revIDLastSave="0" documentId="8_{7FC63E9B-DE2D-F844-A847-17B2CC1A282F}" xr6:coauthVersionLast="45" xr6:coauthVersionMax="45" xr10:uidLastSave="{00000000-0000-0000-0000-000000000000}"/>
  <bookViews>
    <workbookView xWindow="0" yWindow="460" windowWidth="33600" windowHeight="19100" activeTab="1" xr2:uid="{4A100A2D-84B0-FB4B-9D34-FE708D6AED02}"/>
  </bookViews>
  <sheets>
    <sheet name="Problem" sheetId="2" r:id="rId1"/>
    <sheet name="Worked out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3" i="1" l="1"/>
  <c r="T18" i="1"/>
  <c r="R18" i="1"/>
  <c r="P18" i="1"/>
  <c r="N18" i="1"/>
  <c r="L18" i="1"/>
  <c r="J18" i="1"/>
  <c r="H18" i="1"/>
  <c r="B18" i="1"/>
  <c r="E35" i="2" l="1"/>
  <c r="D35" i="2"/>
  <c r="G42" i="2"/>
  <c r="C42" i="2"/>
  <c r="D41" i="2"/>
  <c r="D39" i="2"/>
  <c r="C39" i="2"/>
  <c r="D38" i="2"/>
  <c r="E37" i="2"/>
  <c r="D37" i="2"/>
  <c r="C37" i="2"/>
  <c r="E36" i="2"/>
  <c r="D36" i="2"/>
  <c r="E34" i="2"/>
  <c r="D34" i="2"/>
  <c r="C34" i="2"/>
  <c r="D28" i="2"/>
  <c r="D27" i="2"/>
  <c r="D24" i="1"/>
  <c r="D18" i="1"/>
  <c r="D26" i="2"/>
  <c r="D25" i="2"/>
  <c r="D24" i="2"/>
  <c r="D21" i="2"/>
  <c r="B21" i="2"/>
  <c r="D19" i="2"/>
  <c r="B19" i="2"/>
  <c r="G3" i="2"/>
  <c r="G4" i="2"/>
  <c r="H4" i="2" s="1"/>
  <c r="G5" i="2"/>
  <c r="G6" i="2"/>
  <c r="G7" i="2"/>
  <c r="G8" i="2"/>
  <c r="H8" i="2" s="1"/>
  <c r="G9" i="2"/>
  <c r="G10" i="2"/>
  <c r="G11" i="2"/>
  <c r="H11" i="2" s="1"/>
  <c r="G12" i="2"/>
  <c r="H12" i="2" s="1"/>
  <c r="H5" i="2"/>
  <c r="H6" i="2"/>
  <c r="H7" i="2"/>
  <c r="H9" i="2"/>
  <c r="H10" i="2"/>
  <c r="H3" i="2"/>
  <c r="O4" i="2"/>
  <c r="O5" i="2"/>
  <c r="O6" i="2"/>
  <c r="O7" i="2"/>
  <c r="O8" i="2"/>
  <c r="O9" i="2"/>
  <c r="O10" i="2"/>
  <c r="O11" i="2"/>
  <c r="O12" i="2"/>
  <c r="O3" i="2"/>
  <c r="L3" i="2"/>
  <c r="L16" i="2" l="1"/>
  <c r="E16" i="2"/>
  <c r="D16" i="2"/>
  <c r="F16" i="2" s="1"/>
  <c r="L12" i="2"/>
  <c r="C12" i="2"/>
  <c r="L11" i="2"/>
  <c r="C11" i="2"/>
  <c r="L10" i="2"/>
  <c r="C10" i="2"/>
  <c r="L9" i="2"/>
  <c r="C9" i="2"/>
  <c r="L8" i="2"/>
  <c r="C8" i="2"/>
  <c r="L7" i="2"/>
  <c r="C7" i="2"/>
  <c r="L6" i="2"/>
  <c r="C6" i="2"/>
  <c r="L5" i="2"/>
  <c r="L4" i="2"/>
  <c r="B105" i="1"/>
  <c r="C100" i="1"/>
  <c r="C85" i="1"/>
  <c r="A80" i="1"/>
  <c r="D68" i="1"/>
  <c r="A81" i="1" s="1"/>
  <c r="B106" i="1" s="1"/>
  <c r="L68" i="1"/>
  <c r="C81" i="1" s="1"/>
  <c r="E68" i="1"/>
  <c r="T17" i="1"/>
  <c r="T19" i="1" s="1"/>
  <c r="F60" i="1"/>
  <c r="F54" i="1"/>
  <c r="C60" i="1"/>
  <c r="C55" i="1"/>
  <c r="F17" i="1"/>
  <c r="C80" i="1" s="1"/>
  <c r="D17" i="1"/>
  <c r="B17" i="1"/>
  <c r="B80" i="1" s="1"/>
  <c r="C105" i="1" s="1"/>
  <c r="F18" i="1"/>
  <c r="F19" i="1" s="1"/>
  <c r="D19" i="1"/>
  <c r="B19" i="1"/>
  <c r="C12" i="1"/>
  <c r="C11" i="1"/>
  <c r="R17" i="1" s="1"/>
  <c r="R19" i="1" s="1"/>
  <c r="C10" i="1"/>
  <c r="P17" i="1" s="1"/>
  <c r="P19" i="1" s="1"/>
  <c r="C9" i="1"/>
  <c r="N17" i="1" s="1"/>
  <c r="C8" i="1"/>
  <c r="L17" i="1" s="1"/>
  <c r="C7" i="1"/>
  <c r="C6" i="1"/>
  <c r="H17" i="1" s="1"/>
  <c r="L4" i="1"/>
  <c r="G4" i="1" s="1"/>
  <c r="H4" i="1" s="1"/>
  <c r="D20" i="1" s="1"/>
  <c r="L5" i="1"/>
  <c r="G5" i="1" s="1"/>
  <c r="H5" i="1" s="1"/>
  <c r="C25" i="1" s="1"/>
  <c r="L6" i="1"/>
  <c r="L7" i="1"/>
  <c r="C38" i="1" s="1"/>
  <c r="L8" i="1"/>
  <c r="F38" i="1" s="1"/>
  <c r="L9" i="1"/>
  <c r="G9" i="1" s="1"/>
  <c r="H9" i="1" s="1"/>
  <c r="C44" i="1" s="1"/>
  <c r="L10" i="1"/>
  <c r="G10" i="1" s="1"/>
  <c r="H10" i="1" s="1"/>
  <c r="F44" i="1" s="1"/>
  <c r="L11" i="1"/>
  <c r="G11" i="1" s="1"/>
  <c r="H11" i="1" s="1"/>
  <c r="C54" i="1" s="1"/>
  <c r="L12" i="1"/>
  <c r="G12" i="1" s="1"/>
  <c r="H12" i="1" s="1"/>
  <c r="L3" i="1"/>
  <c r="G3" i="1" s="1"/>
  <c r="H3" i="1" s="1"/>
  <c r="B20" i="1" s="1"/>
  <c r="F88" i="1" l="1"/>
  <c r="D105" i="1"/>
  <c r="D106" i="1"/>
  <c r="D88" i="1"/>
  <c r="F68" i="1"/>
  <c r="B81" i="1"/>
  <c r="D91" i="1"/>
  <c r="F69" i="1"/>
  <c r="D81" i="1"/>
  <c r="D21" i="1"/>
  <c r="F55" i="1"/>
  <c r="F26" i="1"/>
  <c r="F28" i="1"/>
  <c r="B21" i="1"/>
  <c r="J17" i="1"/>
  <c r="G8" i="1"/>
  <c r="H8" i="1" s="1"/>
  <c r="F34" i="1" s="1"/>
  <c r="G7" i="1"/>
  <c r="H7" i="1" s="1"/>
  <c r="C34" i="1" s="1"/>
  <c r="G6" i="1"/>
  <c r="H6" i="1" s="1"/>
  <c r="F25" i="1" s="1"/>
  <c r="F27" i="1" s="1"/>
  <c r="F29" i="1" s="1"/>
  <c r="F36" i="1" s="1"/>
  <c r="C28" i="1"/>
  <c r="D43" i="1"/>
  <c r="N19" i="1"/>
  <c r="I33" i="1"/>
  <c r="L19" i="1"/>
  <c r="C45" i="1"/>
  <c r="C26" i="1"/>
  <c r="C27" i="1" s="1"/>
  <c r="C29" i="1" s="1"/>
  <c r="H19" i="1"/>
  <c r="I24" i="1"/>
  <c r="F49" i="1"/>
  <c r="F45" i="1"/>
  <c r="F35" i="1"/>
  <c r="C35" i="1"/>
  <c r="C49" i="1"/>
  <c r="C84" i="1" l="1"/>
  <c r="C86" i="1" s="1"/>
  <c r="E106" i="1"/>
  <c r="J19" i="1"/>
  <c r="D80" i="1"/>
  <c r="E105" i="1" s="1"/>
  <c r="C96" i="1"/>
  <c r="C106" i="1"/>
  <c r="F37" i="1"/>
  <c r="F39" i="1" s="1"/>
  <c r="F40" i="1" s="1"/>
  <c r="L21" i="1" s="1"/>
  <c r="C30" i="1"/>
  <c r="F21" i="1" s="1"/>
  <c r="F20" i="1"/>
  <c r="F30" i="1"/>
  <c r="H21" i="1" s="1"/>
  <c r="H20" i="1"/>
  <c r="E111" i="1" l="1"/>
  <c r="C56" i="1"/>
  <c r="F70" i="1"/>
  <c r="E107" i="1"/>
  <c r="C97" i="1"/>
  <c r="C107" i="1"/>
  <c r="D107" i="1" s="1"/>
  <c r="E86" i="1"/>
  <c r="F46" i="1"/>
  <c r="F56" i="1"/>
  <c r="L20" i="1"/>
  <c r="C36" i="1"/>
  <c r="C37" i="1" s="1"/>
  <c r="C39" i="1" s="1"/>
  <c r="C46" i="1"/>
  <c r="G86" i="1" l="1"/>
  <c r="B107" i="1" s="1"/>
  <c r="D89" i="1"/>
  <c r="D90" i="1" s="1"/>
  <c r="D92" i="1" s="1"/>
  <c r="F47" i="1"/>
  <c r="F48" i="1" s="1"/>
  <c r="F50" i="1" s="1"/>
  <c r="P20" i="1" s="1"/>
  <c r="F58" i="1" s="1"/>
  <c r="F57" i="1"/>
  <c r="F59" i="1" s="1"/>
  <c r="F61" i="1" s="1"/>
  <c r="J20" i="1"/>
  <c r="F71" i="1" s="1"/>
  <c r="F72" i="1" s="1"/>
  <c r="C40" i="1"/>
  <c r="J21" i="1" s="1"/>
  <c r="F62" i="1" l="1"/>
  <c r="T21" i="1" s="1"/>
  <c r="T20" i="1"/>
  <c r="C98" i="1"/>
  <c r="C99" i="1" s="1"/>
  <c r="C101" i="1" s="1"/>
  <c r="D108" i="1"/>
  <c r="D111" i="1" s="1"/>
  <c r="H92" i="1"/>
  <c r="B108" i="1" s="1"/>
  <c r="F92" i="1"/>
  <c r="C108" i="1"/>
  <c r="F51" i="1"/>
  <c r="P21" i="1" s="1"/>
  <c r="C47" i="1"/>
  <c r="C48" i="1" s="1"/>
  <c r="C50" i="1" s="1"/>
  <c r="N20" i="1" s="1"/>
  <c r="C58" i="1" s="1"/>
  <c r="C57" i="1"/>
  <c r="C111" i="1" l="1"/>
  <c r="G101" i="1"/>
  <c r="B109" i="1" s="1"/>
  <c r="B111" i="1" s="1"/>
  <c r="N113" i="1" s="1"/>
  <c r="C109" i="1"/>
  <c r="E101" i="1"/>
  <c r="C51" i="1"/>
  <c r="N21" i="1" s="1"/>
  <c r="C59" i="1"/>
  <c r="C61" i="1" s="1"/>
  <c r="C62" i="1" l="1"/>
  <c r="R21" i="1" s="1"/>
  <c r="R20" i="1"/>
</calcChain>
</file>

<file path=xl/sharedStrings.xml><?xml version="1.0" encoding="utf-8"?>
<sst xmlns="http://schemas.openxmlformats.org/spreadsheetml/2006/main" count="151" uniqueCount="102">
  <si>
    <t>Date:</t>
  </si>
  <si>
    <t>Note</t>
  </si>
  <si>
    <t xml:space="preserve">Bid </t>
  </si>
  <si>
    <t>Ask</t>
  </si>
  <si>
    <t>Note Maturity</t>
  </si>
  <si>
    <t>Note Coupon</t>
  </si>
  <si>
    <t>Settlement</t>
  </si>
  <si>
    <t>Last Coupon</t>
  </si>
  <si>
    <t>Next Coupon</t>
  </si>
  <si>
    <t>$ Coupon</t>
  </si>
  <si>
    <t>AI</t>
  </si>
  <si>
    <t>Cash mid-pt</t>
  </si>
  <si>
    <t xml:space="preserve"> (Wed)</t>
  </si>
  <si>
    <t>Extracting Spot rates:</t>
  </si>
  <si>
    <t>Days:</t>
  </si>
  <si>
    <t>Business Day?</t>
  </si>
  <si>
    <t>discount factor:</t>
  </si>
  <si>
    <t>ccy</t>
  </si>
  <si>
    <t>May 15 2016 note</t>
  </si>
  <si>
    <t>Note Price:</t>
  </si>
  <si>
    <t xml:space="preserve"> - mkt value of 11/15 coupon:</t>
  </si>
  <si>
    <t xml:space="preserve"> = mkt value of terminal cash flow:</t>
  </si>
  <si>
    <t>Terminal cash flow:</t>
  </si>
  <si>
    <t>T (Yrs):</t>
  </si>
  <si>
    <t>August 15,2016 note</t>
  </si>
  <si>
    <t>Nov 2016 note</t>
  </si>
  <si>
    <t>- mkt value of 11/15/15 coupon:</t>
  </si>
  <si>
    <t>- mkt value of 5/15/2016 coupon:</t>
  </si>
  <si>
    <t xml:space="preserve"> = mkt vaue of terminal CF:</t>
  </si>
  <si>
    <t>Terminal CF:</t>
  </si>
  <si>
    <t>Feb 2017 note</t>
  </si>
  <si>
    <t>May 2017 note:</t>
  </si>
  <si>
    <t>- mkt value of 11/15/16 coupon:</t>
  </si>
  <si>
    <t>Aug 15 2017 note</t>
  </si>
  <si>
    <t>Nov 2017 note</t>
  </si>
  <si>
    <t>- mkt value of 5/15/2017 coupon:</t>
  </si>
  <si>
    <t>Feb 2018 note</t>
  </si>
  <si>
    <t>Arbitrage</t>
  </si>
  <si>
    <t>Suppose we see a 9.75% Nov 15, 2016 bond:</t>
  </si>
  <si>
    <t xml:space="preserve"> - Market value of 11/15/15 coupon:</t>
  </si>
  <si>
    <t xml:space="preserve"> - Market value of 5/15/16 coupon:</t>
  </si>
  <si>
    <t xml:space="preserve"> - Market value of terminal cash flow:</t>
  </si>
  <si>
    <t>= Arbitrage / replication value of note:</t>
  </si>
  <si>
    <t xml:space="preserve">  </t>
  </si>
  <si>
    <t xml:space="preserve">So it appears that the note is trading rich.  We can replicate its cash flows using 3 of the other notes for a lower price than the note.  </t>
  </si>
  <si>
    <t xml:space="preserve">  We don't know whether this will stand up to transactions costs, since all values are at spread mid-points.  We will excecute a trade to try to capitalize on the difference.</t>
  </si>
  <si>
    <t xml:space="preserve">     Since this bond is trading rich we would short this bond and buy a replicating portfolio.</t>
  </si>
  <si>
    <t>Sell the 9.75% Nov 15 2016 bond:</t>
  </si>
  <si>
    <t>Cash Flows:</t>
  </si>
  <si>
    <t>To replicate this note we use notes that expire on the cash flow dates, start with the last cash flow and work our way back.</t>
  </si>
  <si>
    <t>Note that we sell at the bid quote.</t>
  </si>
  <si>
    <t>Cash flow needed on 11/15/16:</t>
  </si>
  <si>
    <t>terminal value of note 5:</t>
  </si>
  <si>
    <t>Units of bond 5 we need:</t>
  </si>
  <si>
    <t>par value:</t>
  </si>
  <si>
    <t xml:space="preserve"> Mkt Value:</t>
  </si>
  <si>
    <t>We buy this note to cover the cash outflow from our short position.</t>
  </si>
  <si>
    <t xml:space="preserve">Next we have to get </t>
  </si>
  <si>
    <t xml:space="preserve">  on </t>
  </si>
  <si>
    <t xml:space="preserve">  Our long position in Note 5 provides:</t>
  </si>
  <si>
    <t xml:space="preserve">  so we still need:</t>
  </si>
  <si>
    <t xml:space="preserve">  We use Note 3 to cover this amount:</t>
  </si>
  <si>
    <t>amount of note 3 we need:</t>
  </si>
  <si>
    <t xml:space="preserve"> par value:</t>
  </si>
  <si>
    <t xml:space="preserve">  Mkt Value:</t>
  </si>
  <si>
    <t>Now we have to check our cash flows on Nov 16, 2015:</t>
  </si>
  <si>
    <t>Short position:</t>
  </si>
  <si>
    <t>Note 5:</t>
  </si>
  <si>
    <t>Note 3:</t>
  </si>
  <si>
    <t>We still need:</t>
  </si>
  <si>
    <t>We use Note 1 to cover this:</t>
  </si>
  <si>
    <t>amount of note 1 we need:</t>
  </si>
  <si>
    <t>Mkt Value:</t>
  </si>
  <si>
    <t>Now we construct our total returns to ascertain whether we indeed have arbitrage, and check that our calculations are correct:</t>
  </si>
  <si>
    <t>Bond:</t>
  </si>
  <si>
    <t>Note 1:</t>
  </si>
  <si>
    <t>Total CF:</t>
  </si>
  <si>
    <t>So arbitrage is possible in this situation.  This portfolio is self-financing, and generates a positive initial cash flow.  If we did this for $100 million par of the bond, our arbitrage cash flow would be:</t>
  </si>
  <si>
    <t xml:space="preserve"> ------------------&gt;</t>
  </si>
  <si>
    <t xml:space="preserve"> 60 days</t>
  </si>
  <si>
    <t>Present</t>
  </si>
  <si>
    <t>Discount</t>
  </si>
  <si>
    <t>Future</t>
  </si>
  <si>
    <t xml:space="preserve"> * exp(r * 60/365.25)) =</t>
  </si>
  <si>
    <t xml:space="preserve"> in this expression r is the continuously compounded 60-day spot rate.</t>
  </si>
  <si>
    <t>Solve for r:</t>
  </si>
  <si>
    <t xml:space="preserve"> exp(r * 60/365.25)) =</t>
  </si>
  <si>
    <t>r * 60/365.25 =</t>
  </si>
  <si>
    <t xml:space="preserve"> r =</t>
  </si>
  <si>
    <t>60 day discount factor:</t>
  </si>
  <si>
    <t>Alternately:</t>
  </si>
  <si>
    <t xml:space="preserve">Note 2: </t>
  </si>
  <si>
    <t>Break</t>
  </si>
  <si>
    <t>2 future cash flows:</t>
  </si>
  <si>
    <t>Date</t>
  </si>
  <si>
    <t>Time (Yrs):</t>
  </si>
  <si>
    <t>df:</t>
  </si>
  <si>
    <t>PV:</t>
  </si>
  <si>
    <t xml:space="preserve">          |</t>
  </si>
  <si>
    <t>&lt;----------------------------</t>
  </si>
  <si>
    <t>Market Value of terminal cash flow:</t>
  </si>
  <si>
    <t xml:space="preserve"> *exp(r*(5/16/16 - 9/17/2015)/365.25)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</si>
</sst>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000"/>
    <numFmt numFmtId="165" formatCode="&quot;$&quot;#,##0.00"/>
  </numFmts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5" fontId="0" fillId="0" borderId="0" xfId="0" applyNumberFormat="1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quotePrefix="1"/>
    <xf numFmtId="164" fontId="0" fillId="0" borderId="0" xfId="0" applyNumberFormat="1"/>
    <xf numFmtId="165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25FAC-56A1-574F-8A31-EEFF28273414}">
  <dimension ref="A1:O42"/>
  <sheetViews>
    <sheetView zoomScale="140" zoomScaleNormal="140" workbookViewId="0">
      <selection activeCell="L27" sqref="L27"/>
    </sheetView>
  </sheetViews>
  <sheetFormatPr baseColWidth="10" defaultRowHeight="16" x14ac:dyDescent="0.2"/>
  <cols>
    <col min="1" max="1" width="14.5" customWidth="1"/>
    <col min="2" max="2" width="15.6640625" customWidth="1"/>
    <col min="3" max="3" width="20" customWidth="1"/>
    <col min="4" max="4" width="14.1640625" customWidth="1"/>
    <col min="6" max="6" width="12.6640625" bestFit="1" customWidth="1"/>
    <col min="14" max="14" width="11.1640625" bestFit="1" customWidth="1"/>
  </cols>
  <sheetData>
    <row r="1" spans="1:15" x14ac:dyDescent="0.2">
      <c r="A1" t="s">
        <v>0</v>
      </c>
      <c r="B1" s="1">
        <v>42263</v>
      </c>
      <c r="C1" s="1"/>
      <c r="D1" s="1" t="s">
        <v>12</v>
      </c>
      <c r="G1" t="s">
        <v>6</v>
      </c>
      <c r="H1" s="2">
        <v>42264</v>
      </c>
    </row>
    <row r="2" spans="1:15" x14ac:dyDescent="0.2">
      <c r="A2" s="3" t="s">
        <v>1</v>
      </c>
      <c r="B2" s="3" t="s">
        <v>4</v>
      </c>
      <c r="C2" s="3" t="s">
        <v>15</v>
      </c>
      <c r="D2" s="3" t="s">
        <v>5</v>
      </c>
      <c r="E2" s="3" t="s">
        <v>2</v>
      </c>
      <c r="F2" s="3" t="s">
        <v>3</v>
      </c>
      <c r="G2" s="3" t="s">
        <v>10</v>
      </c>
      <c r="H2" s="3" t="s">
        <v>11</v>
      </c>
      <c r="I2" s="3"/>
      <c r="J2" s="3"/>
      <c r="K2" s="3"/>
      <c r="L2" s="3" t="s">
        <v>9</v>
      </c>
      <c r="M2" s="3" t="s">
        <v>7</v>
      </c>
      <c r="N2" s="3" t="s">
        <v>8</v>
      </c>
    </row>
    <row r="3" spans="1:15" x14ac:dyDescent="0.2">
      <c r="A3">
        <v>1</v>
      </c>
      <c r="B3" s="2">
        <v>42323</v>
      </c>
      <c r="C3" s="2">
        <v>42324</v>
      </c>
      <c r="D3">
        <v>4.4999999999999998E-2</v>
      </c>
      <c r="E3">
        <v>100.703125</v>
      </c>
      <c r="F3">
        <v>100.71875</v>
      </c>
      <c r="G3">
        <f>($H$1-M3)/(N3-M3)*L3</f>
        <v>1.5285326086956523</v>
      </c>
      <c r="H3">
        <f>0.5*(E3+F3)+G3</f>
        <v>102.23947010869566</v>
      </c>
      <c r="L3">
        <f>50*D3</f>
        <v>2.25</v>
      </c>
      <c r="M3" s="2">
        <v>42139</v>
      </c>
      <c r="N3" s="2">
        <v>42323</v>
      </c>
      <c r="O3">
        <f>N3-M3</f>
        <v>184</v>
      </c>
    </row>
    <row r="4" spans="1:15" x14ac:dyDescent="0.2">
      <c r="A4">
        <v>2</v>
      </c>
      <c r="B4" s="2">
        <v>42415</v>
      </c>
      <c r="C4" s="2">
        <v>42416</v>
      </c>
      <c r="D4">
        <v>4.4999999999999998E-2</v>
      </c>
      <c r="E4">
        <v>101.7265625</v>
      </c>
      <c r="F4">
        <v>101.7539063</v>
      </c>
      <c r="G4">
        <f t="shared" ref="G4:G12" si="0">($H$1-M4)/(N4-M4)*L4</f>
        <v>0.40353260869565216</v>
      </c>
      <c r="H4">
        <f t="shared" ref="H4:H12" si="1">0.5*(E4+F4)+G4</f>
        <v>102.14376700869565</v>
      </c>
      <c r="L4">
        <f t="shared" ref="L4:L12" si="2">50*D4</f>
        <v>2.25</v>
      </c>
      <c r="M4" s="2">
        <v>42231</v>
      </c>
      <c r="N4" s="2">
        <v>42415</v>
      </c>
      <c r="O4">
        <f t="shared" ref="O4:O12" si="3">N4-M4</f>
        <v>184</v>
      </c>
    </row>
    <row r="5" spans="1:15" x14ac:dyDescent="0.2">
      <c r="A5">
        <v>3</v>
      </c>
      <c r="B5" s="2">
        <v>42505</v>
      </c>
      <c r="C5" s="2">
        <v>42506</v>
      </c>
      <c r="D5">
        <v>5.1249999999999997E-2</v>
      </c>
      <c r="E5">
        <v>103.0898438</v>
      </c>
      <c r="F5">
        <v>103.125</v>
      </c>
      <c r="G5">
        <f t="shared" si="0"/>
        <v>1.7408288043478262</v>
      </c>
      <c r="H5">
        <f t="shared" si="1"/>
        <v>104.84825070434782</v>
      </c>
      <c r="L5">
        <f t="shared" si="2"/>
        <v>2.5625</v>
      </c>
      <c r="M5" s="2">
        <v>42139</v>
      </c>
      <c r="N5" s="2">
        <v>42323</v>
      </c>
      <c r="O5">
        <f t="shared" si="3"/>
        <v>184</v>
      </c>
    </row>
    <row r="6" spans="1:15" x14ac:dyDescent="0.2">
      <c r="A6">
        <v>4</v>
      </c>
      <c r="B6" s="2">
        <v>42597</v>
      </c>
      <c r="C6" s="2">
        <f t="shared" ref="C6:C12" si="4">B6</f>
        <v>42597</v>
      </c>
      <c r="D6">
        <v>4.8750000000000002E-2</v>
      </c>
      <c r="E6">
        <v>103.9296875</v>
      </c>
      <c r="F6">
        <v>103.9765625</v>
      </c>
      <c r="G6">
        <f t="shared" si="0"/>
        <v>0.43716032608695649</v>
      </c>
      <c r="H6">
        <f t="shared" si="1"/>
        <v>104.39028532608695</v>
      </c>
      <c r="L6">
        <f t="shared" si="2"/>
        <v>2.4375</v>
      </c>
      <c r="M6" s="2">
        <v>42231</v>
      </c>
      <c r="N6" s="2">
        <v>42415</v>
      </c>
      <c r="O6">
        <f t="shared" si="3"/>
        <v>184</v>
      </c>
    </row>
    <row r="7" spans="1:15" x14ac:dyDescent="0.2">
      <c r="A7">
        <v>5</v>
      </c>
      <c r="B7" s="2">
        <v>42689</v>
      </c>
      <c r="C7" s="2">
        <f t="shared" si="4"/>
        <v>42689</v>
      </c>
      <c r="D7">
        <v>4.6249999999999999E-2</v>
      </c>
      <c r="E7">
        <v>104.6875</v>
      </c>
      <c r="F7">
        <v>104.7304688</v>
      </c>
      <c r="G7">
        <f t="shared" si="0"/>
        <v>1.5709918478260869</v>
      </c>
      <c r="H7">
        <f t="shared" si="1"/>
        <v>106.27997624782608</v>
      </c>
      <c r="L7">
        <f t="shared" si="2"/>
        <v>2.3125</v>
      </c>
      <c r="M7" s="2">
        <v>42139</v>
      </c>
      <c r="N7" s="2">
        <v>42323</v>
      </c>
      <c r="O7">
        <f t="shared" si="3"/>
        <v>184</v>
      </c>
    </row>
    <row r="8" spans="1:15" x14ac:dyDescent="0.2">
      <c r="A8">
        <v>6</v>
      </c>
      <c r="B8" s="2">
        <v>42781</v>
      </c>
      <c r="C8" s="2">
        <f t="shared" si="4"/>
        <v>42781</v>
      </c>
      <c r="D8">
        <v>4.6249999999999999E-2</v>
      </c>
      <c r="E8">
        <v>105.5351563</v>
      </c>
      <c r="F8">
        <v>105.578125</v>
      </c>
      <c r="G8">
        <f t="shared" si="0"/>
        <v>0.41474184782608692</v>
      </c>
      <c r="H8">
        <f t="shared" si="1"/>
        <v>105.97138249782608</v>
      </c>
      <c r="L8">
        <f t="shared" si="2"/>
        <v>2.3125</v>
      </c>
      <c r="M8" s="2">
        <v>42231</v>
      </c>
      <c r="N8" s="2">
        <v>42415</v>
      </c>
      <c r="O8">
        <f t="shared" si="3"/>
        <v>184</v>
      </c>
    </row>
    <row r="9" spans="1:15" x14ac:dyDescent="0.2">
      <c r="A9">
        <v>7</v>
      </c>
      <c r="B9" s="2">
        <v>42870</v>
      </c>
      <c r="C9" s="2">
        <f t="shared" si="4"/>
        <v>42870</v>
      </c>
      <c r="D9">
        <v>4.4999999999999998E-2</v>
      </c>
      <c r="E9">
        <v>106.203125</v>
      </c>
      <c r="F9">
        <v>106.2421875</v>
      </c>
      <c r="G9">
        <f t="shared" si="0"/>
        <v>1.5285326086956523</v>
      </c>
      <c r="H9">
        <f t="shared" si="1"/>
        <v>107.75118885869566</v>
      </c>
      <c r="L9">
        <f t="shared" si="2"/>
        <v>2.25</v>
      </c>
      <c r="M9" s="2">
        <v>42139</v>
      </c>
      <c r="N9" s="2">
        <v>42323</v>
      </c>
      <c r="O9">
        <f t="shared" si="3"/>
        <v>184</v>
      </c>
    </row>
    <row r="10" spans="1:15" x14ac:dyDescent="0.2">
      <c r="A10">
        <v>8</v>
      </c>
      <c r="B10" s="2">
        <v>42962</v>
      </c>
      <c r="C10" s="2">
        <f t="shared" si="4"/>
        <v>42962</v>
      </c>
      <c r="D10">
        <v>4.7500000000000001E-2</v>
      </c>
      <c r="E10">
        <v>107.421875</v>
      </c>
      <c r="F10">
        <v>107.46875</v>
      </c>
      <c r="G10">
        <f t="shared" si="0"/>
        <v>0.42595108695652173</v>
      </c>
      <c r="H10">
        <f t="shared" si="1"/>
        <v>107.87126358695652</v>
      </c>
      <c r="L10">
        <f t="shared" si="2"/>
        <v>2.375</v>
      </c>
      <c r="M10" s="2">
        <v>42231</v>
      </c>
      <c r="N10" s="2">
        <v>42415</v>
      </c>
      <c r="O10">
        <f t="shared" si="3"/>
        <v>184</v>
      </c>
    </row>
    <row r="11" spans="1:15" x14ac:dyDescent="0.2">
      <c r="A11">
        <v>9</v>
      </c>
      <c r="B11" s="2">
        <v>43054</v>
      </c>
      <c r="C11" s="2">
        <f t="shared" si="4"/>
        <v>43054</v>
      </c>
      <c r="D11">
        <v>4.2500000000000003E-2</v>
      </c>
      <c r="E11">
        <v>107.140625</v>
      </c>
      <c r="F11">
        <v>107.1875</v>
      </c>
      <c r="G11">
        <f t="shared" si="0"/>
        <v>1.4436141304347827</v>
      </c>
      <c r="H11">
        <f t="shared" si="1"/>
        <v>108.60767663043478</v>
      </c>
      <c r="L11">
        <f t="shared" si="2"/>
        <v>2.125</v>
      </c>
      <c r="M11" s="2">
        <v>42139</v>
      </c>
      <c r="N11" s="2">
        <v>42323</v>
      </c>
      <c r="O11">
        <f t="shared" si="3"/>
        <v>184</v>
      </c>
    </row>
    <row r="12" spans="1:15" x14ac:dyDescent="0.2">
      <c r="A12">
        <v>10</v>
      </c>
      <c r="B12" s="2">
        <v>43146</v>
      </c>
      <c r="C12" s="2">
        <f t="shared" si="4"/>
        <v>43146</v>
      </c>
      <c r="D12">
        <v>3.5000000000000003E-2</v>
      </c>
      <c r="E12">
        <v>105.9921875</v>
      </c>
      <c r="F12">
        <v>106.0390625</v>
      </c>
      <c r="G12">
        <f t="shared" si="0"/>
        <v>0.31385869565217395</v>
      </c>
      <c r="H12">
        <f t="shared" si="1"/>
        <v>106.32948369565217</v>
      </c>
      <c r="L12">
        <f t="shared" si="2"/>
        <v>1.7500000000000002</v>
      </c>
      <c r="M12" s="2">
        <v>42231</v>
      </c>
      <c r="N12" s="2">
        <v>42415</v>
      </c>
      <c r="O12">
        <f t="shared" si="3"/>
        <v>184</v>
      </c>
    </row>
    <row r="16" spans="1:15" x14ac:dyDescent="0.2">
      <c r="A16" t="s">
        <v>38</v>
      </c>
      <c r="D16">
        <f>110+27/32</f>
        <v>110.84375</v>
      </c>
      <c r="E16">
        <f>113+28/32</f>
        <v>113.875</v>
      </c>
      <c r="F16">
        <f>0.5*(D16+E16)+L16*(H1-M16)/(N16-M16)</f>
        <v>115.67119565217391</v>
      </c>
      <c r="L16">
        <f>0.0975*50</f>
        <v>4.875</v>
      </c>
      <c r="M16" s="2">
        <v>42139</v>
      </c>
      <c r="N16" s="2">
        <v>42323</v>
      </c>
    </row>
    <row r="18" spans="1:4" x14ac:dyDescent="0.2">
      <c r="B18" t="s">
        <v>80</v>
      </c>
      <c r="C18" t="s">
        <v>81</v>
      </c>
      <c r="D18" t="s">
        <v>82</v>
      </c>
    </row>
    <row r="19" spans="1:4" x14ac:dyDescent="0.2">
      <c r="A19" t="s">
        <v>75</v>
      </c>
      <c r="B19">
        <f>H3</f>
        <v>102.23947010869566</v>
      </c>
      <c r="C19" s="4" t="s">
        <v>78</v>
      </c>
      <c r="D19">
        <f>100+L3</f>
        <v>102.25</v>
      </c>
    </row>
    <row r="20" spans="1:4" x14ac:dyDescent="0.2">
      <c r="C20" s="4" t="s">
        <v>79</v>
      </c>
    </row>
    <row r="21" spans="1:4" x14ac:dyDescent="0.2">
      <c r="B21">
        <f>B19</f>
        <v>102.23947010869566</v>
      </c>
      <c r="C21" s="4" t="s">
        <v>83</v>
      </c>
      <c r="D21">
        <f>D19</f>
        <v>102.25</v>
      </c>
    </row>
    <row r="22" spans="1:4" x14ac:dyDescent="0.2">
      <c r="C22" t="s">
        <v>84</v>
      </c>
    </row>
    <row r="23" spans="1:4" x14ac:dyDescent="0.2">
      <c r="C23" t="s">
        <v>85</v>
      </c>
    </row>
    <row r="24" spans="1:4" x14ac:dyDescent="0.2">
      <c r="C24" s="4" t="s">
        <v>86</v>
      </c>
      <c r="D24">
        <f>D21/B21</f>
        <v>1.0001029924283953</v>
      </c>
    </row>
    <row r="25" spans="1:4" x14ac:dyDescent="0.2">
      <c r="C25" s="4" t="s">
        <v>87</v>
      </c>
      <c r="D25">
        <f>LN(D24)</f>
        <v>1.0298712503926816E-4</v>
      </c>
    </row>
    <row r="26" spans="1:4" x14ac:dyDescent="0.2">
      <c r="C26" s="4" t="s">
        <v>88</v>
      </c>
      <c r="D26" s="7">
        <f>D25*365.25/60</f>
        <v>6.2693412367654491E-4</v>
      </c>
    </row>
    <row r="27" spans="1:4" x14ac:dyDescent="0.2">
      <c r="C27" t="s">
        <v>89</v>
      </c>
      <c r="D27">
        <f>EXP(-D26*60/365.25)</f>
        <v>0.99989701817795262</v>
      </c>
    </row>
    <row r="28" spans="1:4" x14ac:dyDescent="0.2">
      <c r="C28" t="s">
        <v>90</v>
      </c>
      <c r="D28" s="7">
        <f>B19/D19</f>
        <v>0.99989701817795262</v>
      </c>
    </row>
    <row r="30" spans="1:4" x14ac:dyDescent="0.2">
      <c r="A30" t="s">
        <v>91</v>
      </c>
      <c r="B30" t="s">
        <v>92</v>
      </c>
    </row>
    <row r="32" spans="1:4" x14ac:dyDescent="0.2">
      <c r="A32" t="s">
        <v>68</v>
      </c>
    </row>
    <row r="33" spans="2:7" x14ac:dyDescent="0.2">
      <c r="B33" t="s">
        <v>93</v>
      </c>
    </row>
    <row r="34" spans="2:7" x14ac:dyDescent="0.2">
      <c r="B34" t="s">
        <v>94</v>
      </c>
      <c r="C34" s="2">
        <f>H1</f>
        <v>42264</v>
      </c>
      <c r="D34" s="2">
        <f>C3</f>
        <v>42324</v>
      </c>
      <c r="E34" s="2">
        <f>C5</f>
        <v>42506</v>
      </c>
    </row>
    <row r="35" spans="2:7" x14ac:dyDescent="0.2">
      <c r="B35" t="s">
        <v>14</v>
      </c>
      <c r="C35" s="2"/>
      <c r="D35">
        <f>D34-$C$34</f>
        <v>60</v>
      </c>
      <c r="E35">
        <f>E34-$C$34</f>
        <v>242</v>
      </c>
    </row>
    <row r="36" spans="2:7" x14ac:dyDescent="0.2">
      <c r="B36" t="s">
        <v>95</v>
      </c>
      <c r="C36">
        <v>0</v>
      </c>
      <c r="D36">
        <f>(D34-$H$1)/365.25</f>
        <v>0.16427104722792607</v>
      </c>
      <c r="E36">
        <f>(E34-$H$1)/365.25</f>
        <v>0.66255989048596853</v>
      </c>
    </row>
    <row r="37" spans="2:7" x14ac:dyDescent="0.2">
      <c r="B37" t="s">
        <v>48</v>
      </c>
      <c r="C37">
        <f>H5</f>
        <v>104.84825070434782</v>
      </c>
      <c r="D37">
        <f>L5</f>
        <v>2.5625</v>
      </c>
      <c r="E37">
        <f>100+D37</f>
        <v>102.5625</v>
      </c>
    </row>
    <row r="38" spans="2:7" x14ac:dyDescent="0.2">
      <c r="B38" t="s">
        <v>96</v>
      </c>
      <c r="C38">
        <v>1</v>
      </c>
      <c r="D38">
        <f>D28</f>
        <v>0.99989701817795262</v>
      </c>
      <c r="E38" t="s">
        <v>98</v>
      </c>
    </row>
    <row r="39" spans="2:7" x14ac:dyDescent="0.2">
      <c r="B39" t="s">
        <v>97</v>
      </c>
      <c r="C39">
        <f>C37*C38</f>
        <v>104.84825070434782</v>
      </c>
      <c r="D39">
        <f>D37*D38</f>
        <v>2.5622361090810037</v>
      </c>
      <c r="E39" t="s">
        <v>98</v>
      </c>
    </row>
    <row r="40" spans="2:7" x14ac:dyDescent="0.2">
      <c r="D40" s="4" t="s">
        <v>99</v>
      </c>
    </row>
    <row r="41" spans="2:7" x14ac:dyDescent="0.2">
      <c r="B41" t="s">
        <v>100</v>
      </c>
      <c r="D41">
        <f>C39-D39</f>
        <v>102.28601459526682</v>
      </c>
    </row>
    <row r="42" spans="2:7" x14ac:dyDescent="0.2">
      <c r="C42">
        <f>D41</f>
        <v>102.28601459526682</v>
      </c>
      <c r="D42" s="4" t="s">
        <v>101</v>
      </c>
      <c r="G42">
        <f>E37</f>
        <v>102.5625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2C3B3-3610-9D46-9D03-EB0BE173B918}">
  <dimension ref="A1:T113"/>
  <sheetViews>
    <sheetView tabSelected="1" topLeftCell="A27" zoomScale="160" zoomScaleNormal="160" workbookViewId="0">
      <selection activeCell="D43" sqref="D43"/>
    </sheetView>
  </sheetViews>
  <sheetFormatPr baseColWidth="10" defaultRowHeight="16" x14ac:dyDescent="0.2"/>
  <cols>
    <col min="1" max="1" width="14.5" customWidth="1"/>
    <col min="2" max="2" width="15.6640625" customWidth="1"/>
    <col min="3" max="3" width="17.6640625" customWidth="1"/>
    <col min="4" max="4" width="14.1640625" customWidth="1"/>
    <col min="6" max="6" width="12.6640625" bestFit="1" customWidth="1"/>
    <col min="14" max="14" width="11.1640625" bestFit="1" customWidth="1"/>
  </cols>
  <sheetData>
    <row r="1" spans="1:14" x14ac:dyDescent="0.2">
      <c r="A1" t="s">
        <v>0</v>
      </c>
      <c r="B1" s="1">
        <v>42263</v>
      </c>
      <c r="C1" s="1"/>
      <c r="D1" s="1" t="s">
        <v>12</v>
      </c>
      <c r="G1" t="s">
        <v>6</v>
      </c>
      <c r="H1" s="2">
        <v>42264</v>
      </c>
    </row>
    <row r="2" spans="1:14" x14ac:dyDescent="0.2">
      <c r="A2" s="3" t="s">
        <v>1</v>
      </c>
      <c r="B2" s="3" t="s">
        <v>4</v>
      </c>
      <c r="C2" s="3" t="s">
        <v>15</v>
      </c>
      <c r="D2" s="3" t="s">
        <v>5</v>
      </c>
      <c r="E2" s="3" t="s">
        <v>2</v>
      </c>
      <c r="F2" s="3" t="s">
        <v>3</v>
      </c>
      <c r="G2" s="3" t="s">
        <v>10</v>
      </c>
      <c r="H2" s="3" t="s">
        <v>11</v>
      </c>
      <c r="I2" s="3"/>
      <c r="J2" s="3"/>
      <c r="K2" s="3"/>
      <c r="L2" s="3" t="s">
        <v>9</v>
      </c>
      <c r="M2" s="3" t="s">
        <v>7</v>
      </c>
      <c r="N2" s="3" t="s">
        <v>8</v>
      </c>
    </row>
    <row r="3" spans="1:14" x14ac:dyDescent="0.2">
      <c r="A3">
        <v>1</v>
      </c>
      <c r="B3" s="2">
        <v>42323</v>
      </c>
      <c r="C3" s="2">
        <v>42324</v>
      </c>
      <c r="D3">
        <v>4.4999999999999998E-2</v>
      </c>
      <c r="E3">
        <v>100.703125</v>
      </c>
      <c r="F3">
        <v>100.71875</v>
      </c>
      <c r="G3">
        <f>($H$1-M3)/(N3-M3)*L3</f>
        <v>1.5285326086956523</v>
      </c>
      <c r="H3">
        <f>0.5*(E3+F3)+G3</f>
        <v>102.23947010869566</v>
      </c>
      <c r="L3">
        <f>50*D3</f>
        <v>2.25</v>
      </c>
      <c r="M3" s="2">
        <v>42139</v>
      </c>
      <c r="N3" s="2">
        <v>42323</v>
      </c>
    </row>
    <row r="4" spans="1:14" x14ac:dyDescent="0.2">
      <c r="A4">
        <v>2</v>
      </c>
      <c r="B4" s="2">
        <v>42415</v>
      </c>
      <c r="C4" s="2">
        <v>42416</v>
      </c>
      <c r="D4">
        <v>4.4999999999999998E-2</v>
      </c>
      <c r="E4">
        <v>101.7265625</v>
      </c>
      <c r="F4">
        <v>101.7539063</v>
      </c>
      <c r="G4">
        <f t="shared" ref="G4:G12" si="0">($H$1-M4)/(N4-M4)*L4</f>
        <v>0.40353260869565216</v>
      </c>
      <c r="H4">
        <f t="shared" ref="H4:H12" si="1">0.5*(E4+F4)+G4</f>
        <v>102.14376700869565</v>
      </c>
      <c r="L4">
        <f t="shared" ref="L4:L12" si="2">50*D4</f>
        <v>2.25</v>
      </c>
      <c r="M4" s="2">
        <v>42231</v>
      </c>
      <c r="N4" s="2">
        <v>42415</v>
      </c>
    </row>
    <row r="5" spans="1:14" x14ac:dyDescent="0.2">
      <c r="A5">
        <v>3</v>
      </c>
      <c r="B5" s="2">
        <v>42505</v>
      </c>
      <c r="C5" s="2">
        <v>42506</v>
      </c>
      <c r="D5">
        <v>5.1249999999999997E-2</v>
      </c>
      <c r="E5">
        <v>103.0898438</v>
      </c>
      <c r="F5">
        <v>103.125</v>
      </c>
      <c r="G5">
        <f t="shared" si="0"/>
        <v>1.7408288043478262</v>
      </c>
      <c r="H5">
        <f t="shared" si="1"/>
        <v>104.84825070434782</v>
      </c>
      <c r="L5">
        <f t="shared" si="2"/>
        <v>2.5625</v>
      </c>
      <c r="M5" s="2">
        <v>42139</v>
      </c>
      <c r="N5" s="2">
        <v>42323</v>
      </c>
    </row>
    <row r="6" spans="1:14" x14ac:dyDescent="0.2">
      <c r="A6">
        <v>4</v>
      </c>
      <c r="B6" s="2">
        <v>42597</v>
      </c>
      <c r="C6" s="2">
        <f t="shared" ref="C6:C12" si="3">B6</f>
        <v>42597</v>
      </c>
      <c r="D6">
        <v>4.8750000000000002E-2</v>
      </c>
      <c r="E6">
        <v>103.9296875</v>
      </c>
      <c r="F6">
        <v>103.9765625</v>
      </c>
      <c r="G6">
        <f t="shared" si="0"/>
        <v>0.43716032608695649</v>
      </c>
      <c r="H6">
        <f t="shared" si="1"/>
        <v>104.39028532608695</v>
      </c>
      <c r="L6">
        <f t="shared" si="2"/>
        <v>2.4375</v>
      </c>
      <c r="M6" s="2">
        <v>42231</v>
      </c>
      <c r="N6" s="2">
        <v>42415</v>
      </c>
    </row>
    <row r="7" spans="1:14" x14ac:dyDescent="0.2">
      <c r="A7">
        <v>5</v>
      </c>
      <c r="B7" s="2">
        <v>42689</v>
      </c>
      <c r="C7" s="2">
        <f t="shared" si="3"/>
        <v>42689</v>
      </c>
      <c r="D7">
        <v>4.6249999999999999E-2</v>
      </c>
      <c r="E7">
        <v>104.6875</v>
      </c>
      <c r="F7">
        <v>104.7304688</v>
      </c>
      <c r="G7">
        <f t="shared" si="0"/>
        <v>1.5709918478260869</v>
      </c>
      <c r="H7">
        <f t="shared" si="1"/>
        <v>106.27997624782608</v>
      </c>
      <c r="L7">
        <f t="shared" si="2"/>
        <v>2.3125</v>
      </c>
      <c r="M7" s="2">
        <v>42139</v>
      </c>
      <c r="N7" s="2">
        <v>42323</v>
      </c>
    </row>
    <row r="8" spans="1:14" x14ac:dyDescent="0.2">
      <c r="A8">
        <v>6</v>
      </c>
      <c r="B8" s="2">
        <v>42781</v>
      </c>
      <c r="C8" s="2">
        <f t="shared" si="3"/>
        <v>42781</v>
      </c>
      <c r="D8">
        <v>4.6249999999999999E-2</v>
      </c>
      <c r="E8">
        <v>105.5351563</v>
      </c>
      <c r="F8">
        <v>105.578125</v>
      </c>
      <c r="G8">
        <f t="shared" si="0"/>
        <v>0.41474184782608692</v>
      </c>
      <c r="H8">
        <f t="shared" si="1"/>
        <v>105.97138249782608</v>
      </c>
      <c r="L8">
        <f t="shared" si="2"/>
        <v>2.3125</v>
      </c>
      <c r="M8" s="2">
        <v>42231</v>
      </c>
      <c r="N8" s="2">
        <v>42415</v>
      </c>
    </row>
    <row r="9" spans="1:14" x14ac:dyDescent="0.2">
      <c r="A9">
        <v>7</v>
      </c>
      <c r="B9" s="2">
        <v>42870</v>
      </c>
      <c r="C9" s="2">
        <f t="shared" si="3"/>
        <v>42870</v>
      </c>
      <c r="D9">
        <v>4.4999999999999998E-2</v>
      </c>
      <c r="E9">
        <v>106.203125</v>
      </c>
      <c r="F9">
        <v>106.2421875</v>
      </c>
      <c r="G9">
        <f t="shared" si="0"/>
        <v>1.5285326086956523</v>
      </c>
      <c r="H9">
        <f t="shared" si="1"/>
        <v>107.75118885869566</v>
      </c>
      <c r="L9">
        <f t="shared" si="2"/>
        <v>2.25</v>
      </c>
      <c r="M9" s="2">
        <v>42139</v>
      </c>
      <c r="N9" s="2">
        <v>42323</v>
      </c>
    </row>
    <row r="10" spans="1:14" x14ac:dyDescent="0.2">
      <c r="A10">
        <v>8</v>
      </c>
      <c r="B10" s="2">
        <v>42962</v>
      </c>
      <c r="C10" s="2">
        <f t="shared" si="3"/>
        <v>42962</v>
      </c>
      <c r="D10">
        <v>4.7500000000000001E-2</v>
      </c>
      <c r="E10">
        <v>107.421875</v>
      </c>
      <c r="F10">
        <v>107.46875</v>
      </c>
      <c r="G10">
        <f t="shared" si="0"/>
        <v>0.42595108695652173</v>
      </c>
      <c r="H10">
        <f t="shared" si="1"/>
        <v>107.87126358695652</v>
      </c>
      <c r="L10">
        <f t="shared" si="2"/>
        <v>2.375</v>
      </c>
      <c r="M10" s="2">
        <v>42231</v>
      </c>
      <c r="N10" s="2">
        <v>42415</v>
      </c>
    </row>
    <row r="11" spans="1:14" x14ac:dyDescent="0.2">
      <c r="A11">
        <v>9</v>
      </c>
      <c r="B11" s="2">
        <v>43054</v>
      </c>
      <c r="C11" s="2">
        <f t="shared" si="3"/>
        <v>43054</v>
      </c>
      <c r="D11">
        <v>4.2500000000000003E-2</v>
      </c>
      <c r="E11">
        <v>107.140625</v>
      </c>
      <c r="F11">
        <v>107.1875</v>
      </c>
      <c r="G11">
        <f t="shared" si="0"/>
        <v>1.4436141304347827</v>
      </c>
      <c r="H11">
        <f t="shared" si="1"/>
        <v>108.60767663043478</v>
      </c>
      <c r="L11">
        <f t="shared" si="2"/>
        <v>2.125</v>
      </c>
      <c r="M11" s="2">
        <v>42139</v>
      </c>
      <c r="N11" s="2">
        <v>42323</v>
      </c>
    </row>
    <row r="12" spans="1:14" x14ac:dyDescent="0.2">
      <c r="A12">
        <v>10</v>
      </c>
      <c r="B12" s="2">
        <v>43146</v>
      </c>
      <c r="C12" s="2">
        <f t="shared" si="3"/>
        <v>43146</v>
      </c>
      <c r="D12">
        <v>3.5000000000000003E-2</v>
      </c>
      <c r="E12">
        <v>105.9921875</v>
      </c>
      <c r="F12">
        <v>106.0390625</v>
      </c>
      <c r="G12">
        <f t="shared" si="0"/>
        <v>0.31385869565217395</v>
      </c>
      <c r="H12">
        <f t="shared" si="1"/>
        <v>106.32948369565217</v>
      </c>
      <c r="L12">
        <f t="shared" si="2"/>
        <v>1.7500000000000002</v>
      </c>
      <c r="M12" s="2">
        <v>42231</v>
      </c>
      <c r="N12" s="2">
        <v>42415</v>
      </c>
    </row>
    <row r="16" spans="1:14" x14ac:dyDescent="0.2">
      <c r="A16" t="s">
        <v>13</v>
      </c>
    </row>
    <row r="17" spans="1:20" x14ac:dyDescent="0.2">
      <c r="A17" t="s">
        <v>0</v>
      </c>
      <c r="B17" s="2">
        <f>C3</f>
        <v>42324</v>
      </c>
      <c r="D17" s="2">
        <f>C4</f>
        <v>42416</v>
      </c>
      <c r="F17" s="2">
        <f>C5</f>
        <v>42506</v>
      </c>
      <c r="H17" s="2">
        <f>C6</f>
        <v>42597</v>
      </c>
      <c r="J17" s="2">
        <f>C7</f>
        <v>42689</v>
      </c>
      <c r="L17" s="2">
        <f>C8</f>
        <v>42781</v>
      </c>
      <c r="N17" s="2">
        <f>C9</f>
        <v>42870</v>
      </c>
      <c r="P17" s="2">
        <f>C10</f>
        <v>42962</v>
      </c>
      <c r="R17" s="2">
        <f>C11</f>
        <v>43054</v>
      </c>
      <c r="T17" s="2">
        <f>C12</f>
        <v>43146</v>
      </c>
    </row>
    <row r="18" spans="1:20" x14ac:dyDescent="0.2">
      <c r="A18" t="s">
        <v>14</v>
      </c>
      <c r="B18">
        <f>C3-H1</f>
        <v>60</v>
      </c>
      <c r="D18">
        <f>C4-H1</f>
        <v>152</v>
      </c>
      <c r="F18">
        <f>D24</f>
        <v>242</v>
      </c>
      <c r="H18">
        <f>H17-H1</f>
        <v>333</v>
      </c>
      <c r="J18">
        <f>J17-H1</f>
        <v>425</v>
      </c>
      <c r="L18">
        <f>L17-H1</f>
        <v>517</v>
      </c>
      <c r="N18">
        <f>N17-H1</f>
        <v>606</v>
      </c>
      <c r="P18">
        <f>P17-H1</f>
        <v>698</v>
      </c>
      <c r="R18">
        <f>R17-H1</f>
        <v>790</v>
      </c>
      <c r="T18">
        <f>T17-H1</f>
        <v>882</v>
      </c>
    </row>
    <row r="19" spans="1:20" x14ac:dyDescent="0.2">
      <c r="A19" t="s">
        <v>23</v>
      </c>
      <c r="B19">
        <f>B18/365.25</f>
        <v>0.16427104722792607</v>
      </c>
      <c r="D19">
        <f>D18/365.25</f>
        <v>0.41615331964407942</v>
      </c>
      <c r="F19">
        <f>F18/365.25</f>
        <v>0.66255989048596853</v>
      </c>
      <c r="H19">
        <f>H18/365.25</f>
        <v>0.9117043121149897</v>
      </c>
      <c r="J19">
        <f>J18/365.25</f>
        <v>1.1635865845311431</v>
      </c>
      <c r="L19">
        <f>L18/365.25</f>
        <v>1.4154688569472964</v>
      </c>
      <c r="N19">
        <f>N18/365.25</f>
        <v>1.6591375770020533</v>
      </c>
      <c r="P19">
        <f>P18/365.25</f>
        <v>1.9110198494182067</v>
      </c>
      <c r="R19">
        <f>R18/365.25</f>
        <v>2.1629021218343598</v>
      </c>
      <c r="T19">
        <f>T18/365.25</f>
        <v>2.4147843942505132</v>
      </c>
    </row>
    <row r="20" spans="1:20" x14ac:dyDescent="0.2">
      <c r="A20" t="s">
        <v>16</v>
      </c>
      <c r="B20">
        <f>H3/(100+L3)</f>
        <v>0.99989701817795262</v>
      </c>
      <c r="D20">
        <f>H4/(100+L4)</f>
        <v>0.99896104653981077</v>
      </c>
      <c r="F20">
        <f>C29</f>
        <v>0.99730422518236994</v>
      </c>
      <c r="H20">
        <f>F29</f>
        <v>0.99529291299715605</v>
      </c>
      <c r="J20">
        <f>C39</f>
        <v>0.99363663650634415</v>
      </c>
      <c r="L20">
        <f>F39</f>
        <v>0.99068706381328631</v>
      </c>
      <c r="N20">
        <f>C50</f>
        <v>0.98798829955007972</v>
      </c>
      <c r="P20">
        <f>F50</f>
        <v>0.98443984035652909</v>
      </c>
      <c r="R20">
        <f>C61</f>
        <v>0.98068710892704236</v>
      </c>
      <c r="T20">
        <f>F61</f>
        <v>0.97673776102373755</v>
      </c>
    </row>
    <row r="21" spans="1:20" x14ac:dyDescent="0.2">
      <c r="A21" t="s">
        <v>17</v>
      </c>
      <c r="B21">
        <f>LN(B20)/(-B18/365.25)</f>
        <v>6.2693412367668001E-4</v>
      </c>
      <c r="D21">
        <f>LN(D20)/(-D18/365.25)</f>
        <v>2.4978619594813963E-3</v>
      </c>
      <c r="F21" s="5">
        <f>C30</f>
        <v>4.0742203094455212E-3</v>
      </c>
      <c r="H21">
        <f>F30</f>
        <v>5.1751430390550033E-3</v>
      </c>
      <c r="J21">
        <f>C40</f>
        <v>5.4862234381866755E-3</v>
      </c>
      <c r="L21">
        <f>F40</f>
        <v>6.6102285932217297E-3</v>
      </c>
      <c r="N21">
        <f>C51</f>
        <v>7.2835574533105848E-3</v>
      </c>
      <c r="P21">
        <f>F51</f>
        <v>8.2063457235574191E-3</v>
      </c>
      <c r="R21">
        <f>C62</f>
        <v>9.0165066834721492E-3</v>
      </c>
      <c r="T21">
        <f>F62</f>
        <v>9.7470712032828692E-3</v>
      </c>
    </row>
    <row r="24" spans="1:20" x14ac:dyDescent="0.2">
      <c r="A24" s="1" t="s">
        <v>18</v>
      </c>
      <c r="C24" t="s">
        <v>14</v>
      </c>
      <c r="D24">
        <f>C5-H1</f>
        <v>242</v>
      </c>
      <c r="F24" t="s">
        <v>24</v>
      </c>
      <c r="H24" t="s">
        <v>14</v>
      </c>
      <c r="I24">
        <f>H18</f>
        <v>333</v>
      </c>
    </row>
    <row r="25" spans="1:20" x14ac:dyDescent="0.2">
      <c r="A25" t="s">
        <v>19</v>
      </c>
      <c r="C25">
        <f>H5</f>
        <v>104.84825070434782</v>
      </c>
      <c r="F25">
        <f>H6</f>
        <v>104.39028532608695</v>
      </c>
    </row>
    <row r="26" spans="1:20" x14ac:dyDescent="0.2">
      <c r="A26" t="s">
        <v>20</v>
      </c>
      <c r="C26">
        <f>L5*B20</f>
        <v>2.5622361090810037</v>
      </c>
      <c r="F26">
        <f>L6*D20</f>
        <v>2.4349675509407889</v>
      </c>
    </row>
    <row r="27" spans="1:20" x14ac:dyDescent="0.2">
      <c r="A27" s="4" t="s">
        <v>21</v>
      </c>
      <c r="C27">
        <f>C25-C26</f>
        <v>102.28601459526682</v>
      </c>
      <c r="F27">
        <f>F25-F26</f>
        <v>101.95531777514617</v>
      </c>
    </row>
    <row r="28" spans="1:20" x14ac:dyDescent="0.2">
      <c r="A28" t="s">
        <v>22</v>
      </c>
      <c r="C28">
        <f>100+L5</f>
        <v>102.5625</v>
      </c>
      <c r="F28">
        <f>100+L6</f>
        <v>102.4375</v>
      </c>
    </row>
    <row r="29" spans="1:20" x14ac:dyDescent="0.2">
      <c r="A29" t="s">
        <v>16</v>
      </c>
      <c r="C29">
        <f>C27/C28</f>
        <v>0.99730422518236994</v>
      </c>
      <c r="F29">
        <f>F27/F28</f>
        <v>0.99529291299715605</v>
      </c>
    </row>
    <row r="30" spans="1:20" x14ac:dyDescent="0.2">
      <c r="A30" t="s">
        <v>17</v>
      </c>
      <c r="C30" s="5">
        <f>-LN(C29)/(D24/365.25)</f>
        <v>4.0742203094455212E-3</v>
      </c>
      <c r="F30">
        <f>-LN(F29)/H19</f>
        <v>5.1751430390550033E-3</v>
      </c>
    </row>
    <row r="33" spans="1:9" x14ac:dyDescent="0.2">
      <c r="A33" t="s">
        <v>25</v>
      </c>
      <c r="C33" t="s">
        <v>14</v>
      </c>
      <c r="D33">
        <f>C7-H1</f>
        <v>425</v>
      </c>
      <c r="F33" t="s">
        <v>30</v>
      </c>
      <c r="H33" t="s">
        <v>14</v>
      </c>
      <c r="I33">
        <f>L18</f>
        <v>517</v>
      </c>
    </row>
    <row r="34" spans="1:9" x14ac:dyDescent="0.2">
      <c r="A34" t="s">
        <v>19</v>
      </c>
      <c r="C34">
        <f>H7</f>
        <v>106.27997624782608</v>
      </c>
      <c r="F34">
        <f>H8</f>
        <v>105.97138249782608</v>
      </c>
    </row>
    <row r="35" spans="1:9" x14ac:dyDescent="0.2">
      <c r="A35" s="4" t="s">
        <v>26</v>
      </c>
      <c r="C35">
        <f>L7*B20</f>
        <v>2.3122618545365152</v>
      </c>
      <c r="F35">
        <f>L8*D20</f>
        <v>2.3100974201233124</v>
      </c>
    </row>
    <row r="36" spans="1:9" x14ac:dyDescent="0.2">
      <c r="A36" s="4" t="s">
        <v>27</v>
      </c>
      <c r="C36">
        <f>L7*F20</f>
        <v>2.3062660207342307</v>
      </c>
      <c r="F36">
        <f>L8*F29</f>
        <v>2.3016148613059233</v>
      </c>
    </row>
    <row r="37" spans="1:9" x14ac:dyDescent="0.2">
      <c r="A37" s="4" t="s">
        <v>28</v>
      </c>
      <c r="C37">
        <f>C34-C35-C36</f>
        <v>101.66144837255534</v>
      </c>
      <c r="F37">
        <f>F34-F35-F36</f>
        <v>101.35967021639685</v>
      </c>
    </row>
    <row r="38" spans="1:9" x14ac:dyDescent="0.2">
      <c r="A38" t="s">
        <v>29</v>
      </c>
      <c r="C38">
        <f>100+L7</f>
        <v>102.3125</v>
      </c>
      <c r="F38">
        <f>100+L8</f>
        <v>102.3125</v>
      </c>
    </row>
    <row r="39" spans="1:9" x14ac:dyDescent="0.2">
      <c r="A39" t="s">
        <v>16</v>
      </c>
      <c r="C39">
        <f>C37/C38</f>
        <v>0.99363663650634415</v>
      </c>
      <c r="F39">
        <f>F37/F38</f>
        <v>0.99068706381328631</v>
      </c>
    </row>
    <row r="40" spans="1:9" x14ac:dyDescent="0.2">
      <c r="A40" t="s">
        <v>17</v>
      </c>
      <c r="C40">
        <f>-LN(C39)/J19</f>
        <v>5.4862234381866755E-3</v>
      </c>
      <c r="F40">
        <f>-LN(F39)/L19</f>
        <v>6.6102285932217297E-3</v>
      </c>
    </row>
    <row r="43" spans="1:9" x14ac:dyDescent="0.2">
      <c r="A43" t="s">
        <v>31</v>
      </c>
      <c r="C43" t="s">
        <v>14</v>
      </c>
      <c r="D43">
        <f>N18</f>
        <v>606</v>
      </c>
      <c r="F43" t="s">
        <v>33</v>
      </c>
    </row>
    <row r="44" spans="1:9" x14ac:dyDescent="0.2">
      <c r="A44" t="s">
        <v>19</v>
      </c>
      <c r="C44">
        <f>H9</f>
        <v>107.75118885869566</v>
      </c>
      <c r="F44">
        <f>H10</f>
        <v>107.87126358695652</v>
      </c>
    </row>
    <row r="45" spans="1:9" x14ac:dyDescent="0.2">
      <c r="A45" s="4" t="s">
        <v>26</v>
      </c>
      <c r="C45">
        <f>L9*B20</f>
        <v>2.2497682909003935</v>
      </c>
      <c r="F45">
        <f>L10*D20</f>
        <v>2.3725324855320507</v>
      </c>
    </row>
    <row r="46" spans="1:9" x14ac:dyDescent="0.2">
      <c r="A46" s="4" t="s">
        <v>27</v>
      </c>
      <c r="C46">
        <f>L9*F20</f>
        <v>2.2439345066603322</v>
      </c>
      <c r="F46">
        <f>L10*H20</f>
        <v>2.3638206683682457</v>
      </c>
    </row>
    <row r="47" spans="1:9" x14ac:dyDescent="0.2">
      <c r="A47" s="4" t="s">
        <v>32</v>
      </c>
      <c r="C47">
        <f>L9*J20</f>
        <v>2.2356824321392743</v>
      </c>
      <c r="F47">
        <f>L10*L20</f>
        <v>2.3528817765565551</v>
      </c>
    </row>
    <row r="48" spans="1:9" x14ac:dyDescent="0.2">
      <c r="A48" s="4" t="s">
        <v>28</v>
      </c>
      <c r="C48">
        <f>C44-C45-C46-C47</f>
        <v>101.02180362899566</v>
      </c>
      <c r="F48">
        <f>F44-F45-F46-F47</f>
        <v>100.78202865649966</v>
      </c>
    </row>
    <row r="49" spans="1:6" x14ac:dyDescent="0.2">
      <c r="A49" t="s">
        <v>29</v>
      </c>
      <c r="C49">
        <f>100+L9</f>
        <v>102.25</v>
      </c>
      <c r="F49">
        <f>L10+100</f>
        <v>102.375</v>
      </c>
    </row>
    <row r="50" spans="1:6" x14ac:dyDescent="0.2">
      <c r="A50" t="s">
        <v>16</v>
      </c>
      <c r="C50">
        <f>C48/C49</f>
        <v>0.98798829955007972</v>
      </c>
      <c r="F50">
        <f>F48/F49</f>
        <v>0.98443984035652909</v>
      </c>
    </row>
    <row r="51" spans="1:6" x14ac:dyDescent="0.2">
      <c r="A51" t="s">
        <v>17</v>
      </c>
      <c r="C51">
        <f>-LN(C50)/N19</f>
        <v>7.2835574533105848E-3</v>
      </c>
      <c r="F51">
        <f>-LN(F50)/P19</f>
        <v>8.2063457235574191E-3</v>
      </c>
    </row>
    <row r="53" spans="1:6" x14ac:dyDescent="0.2">
      <c r="A53" t="s">
        <v>34</v>
      </c>
      <c r="F53" t="s">
        <v>36</v>
      </c>
    </row>
    <row r="54" spans="1:6" x14ac:dyDescent="0.2">
      <c r="A54" t="s">
        <v>19</v>
      </c>
      <c r="C54">
        <f>H11</f>
        <v>108.60767663043478</v>
      </c>
      <c r="F54">
        <f>H12</f>
        <v>106.32948369565217</v>
      </c>
    </row>
    <row r="55" spans="1:6" x14ac:dyDescent="0.2">
      <c r="A55" s="4" t="s">
        <v>26</v>
      </c>
      <c r="C55">
        <f>L11*B20</f>
        <v>2.1247811636281493</v>
      </c>
      <c r="F55">
        <f>L12*D20</f>
        <v>1.7481818314446691</v>
      </c>
    </row>
    <row r="56" spans="1:6" x14ac:dyDescent="0.2">
      <c r="A56" s="4" t="s">
        <v>27</v>
      </c>
      <c r="C56">
        <f>L11*F20</f>
        <v>2.1192714785125362</v>
      </c>
      <c r="F56">
        <f>L12*H20</f>
        <v>1.7417625977450233</v>
      </c>
    </row>
    <row r="57" spans="1:6" x14ac:dyDescent="0.2">
      <c r="A57" s="4" t="s">
        <v>32</v>
      </c>
      <c r="C57">
        <f>L11*J20</f>
        <v>2.1114778525759812</v>
      </c>
      <c r="F57">
        <f>L12*L20</f>
        <v>1.7337023616732512</v>
      </c>
    </row>
    <row r="58" spans="1:6" x14ac:dyDescent="0.2">
      <c r="A58" s="4" t="s">
        <v>35</v>
      </c>
      <c r="C58">
        <f>L11*N20</f>
        <v>2.0994751365439193</v>
      </c>
      <c r="F58">
        <f>L12*P20</f>
        <v>1.7227697206239261</v>
      </c>
    </row>
    <row r="59" spans="1:6" x14ac:dyDescent="0.2">
      <c r="A59" s="4" t="s">
        <v>28</v>
      </c>
      <c r="C59">
        <f>C54-C55-C56-C57-C58</f>
        <v>100.15267099917421</v>
      </c>
      <c r="F59">
        <f>F54-F55-F56-F57-F58</f>
        <v>99.383067184165299</v>
      </c>
    </row>
    <row r="60" spans="1:6" x14ac:dyDescent="0.2">
      <c r="A60" t="s">
        <v>29</v>
      </c>
      <c r="C60">
        <f>L11+100</f>
        <v>102.125</v>
      </c>
      <c r="F60">
        <f>100+L12</f>
        <v>101.75</v>
      </c>
    </row>
    <row r="61" spans="1:6" x14ac:dyDescent="0.2">
      <c r="A61" t="s">
        <v>16</v>
      </c>
      <c r="C61">
        <f>C59/C60</f>
        <v>0.98068710892704236</v>
      </c>
      <c r="F61">
        <f>F59/F60</f>
        <v>0.97673776102373755</v>
      </c>
    </row>
    <row r="62" spans="1:6" x14ac:dyDescent="0.2">
      <c r="A62" t="s">
        <v>17</v>
      </c>
      <c r="C62">
        <f>-LN(C61)/R19</f>
        <v>9.0165066834721492E-3</v>
      </c>
      <c r="F62">
        <f>-LN(F61)/T19</f>
        <v>9.7470712032828692E-3</v>
      </c>
    </row>
    <row r="67" spans="1:14" x14ac:dyDescent="0.2">
      <c r="A67" t="s">
        <v>37</v>
      </c>
    </row>
    <row r="68" spans="1:14" x14ac:dyDescent="0.2">
      <c r="A68" t="s">
        <v>38</v>
      </c>
      <c r="D68">
        <f>110+27/32</f>
        <v>110.84375</v>
      </c>
      <c r="E68">
        <f>113+28/32</f>
        <v>113.875</v>
      </c>
      <c r="F68">
        <f>0.5*(D68+E68)+L68*(H1-M68)/(N68-M68)</f>
        <v>115.67119565217391</v>
      </c>
      <c r="L68">
        <f>0.0975*50</f>
        <v>4.875</v>
      </c>
      <c r="M68" s="2">
        <v>42139</v>
      </c>
      <c r="N68" s="2">
        <v>42323</v>
      </c>
    </row>
    <row r="69" spans="1:14" x14ac:dyDescent="0.2">
      <c r="A69" s="4" t="s">
        <v>39</v>
      </c>
      <c r="F69">
        <f>L68*B20</f>
        <v>4.874497963617519</v>
      </c>
    </row>
    <row r="70" spans="1:14" x14ac:dyDescent="0.2">
      <c r="A70" s="4" t="s">
        <v>40</v>
      </c>
      <c r="F70">
        <f>L68*F20</f>
        <v>4.8618580977640535</v>
      </c>
    </row>
    <row r="71" spans="1:14" x14ac:dyDescent="0.2">
      <c r="A71" s="4" t="s">
        <v>41</v>
      </c>
      <c r="F71">
        <f>(100+L68)*J20</f>
        <v>104.20764225360284</v>
      </c>
    </row>
    <row r="72" spans="1:14" x14ac:dyDescent="0.2">
      <c r="A72" s="4" t="s">
        <v>42</v>
      </c>
      <c r="F72">
        <f>F69+F70+F71</f>
        <v>113.94399831498441</v>
      </c>
      <c r="G72" t="s">
        <v>43</v>
      </c>
    </row>
    <row r="74" spans="1:14" x14ac:dyDescent="0.2">
      <c r="A74" t="s">
        <v>44</v>
      </c>
    </row>
    <row r="75" spans="1:14" x14ac:dyDescent="0.2">
      <c r="A75" t="s">
        <v>45</v>
      </c>
    </row>
    <row r="76" spans="1:14" x14ac:dyDescent="0.2">
      <c r="A76" t="s">
        <v>46</v>
      </c>
    </row>
    <row r="78" spans="1:14" x14ac:dyDescent="0.2">
      <c r="A78" t="s">
        <v>47</v>
      </c>
    </row>
    <row r="79" spans="1:14" x14ac:dyDescent="0.2">
      <c r="A79" t="s">
        <v>48</v>
      </c>
    </row>
    <row r="80" spans="1:14" x14ac:dyDescent="0.2">
      <c r="A80" s="2">
        <f>H1</f>
        <v>42264</v>
      </c>
      <c r="B80" s="2">
        <f>B17</f>
        <v>42324</v>
      </c>
      <c r="C80" s="2">
        <f>F17</f>
        <v>42506</v>
      </c>
      <c r="D80" s="2">
        <f>J17</f>
        <v>42689</v>
      </c>
    </row>
    <row r="81" spans="1:8" x14ac:dyDescent="0.2">
      <c r="A81">
        <f>D68+L68*(A80-M68)/(N68-M68)</f>
        <v>114.15557065217391</v>
      </c>
      <c r="B81">
        <f>-L68</f>
        <v>-4.875</v>
      </c>
      <c r="C81">
        <f>-L68</f>
        <v>-4.875</v>
      </c>
      <c r="D81">
        <f>-100-L68</f>
        <v>-104.875</v>
      </c>
      <c r="F81" t="s">
        <v>50</v>
      </c>
    </row>
    <row r="83" spans="1:8" x14ac:dyDescent="0.2">
      <c r="A83" t="s">
        <v>49</v>
      </c>
    </row>
    <row r="84" spans="1:8" x14ac:dyDescent="0.2">
      <c r="A84" t="s">
        <v>51</v>
      </c>
      <c r="C84">
        <f>-D81</f>
        <v>104.875</v>
      </c>
    </row>
    <row r="85" spans="1:8" x14ac:dyDescent="0.2">
      <c r="A85" t="s">
        <v>52</v>
      </c>
      <c r="C85">
        <f>100+L7</f>
        <v>102.3125</v>
      </c>
    </row>
    <row r="86" spans="1:8" x14ac:dyDescent="0.2">
      <c r="A86" t="s">
        <v>53</v>
      </c>
      <c r="C86">
        <f>C84/C85</f>
        <v>1.0250458155161881</v>
      </c>
      <c r="D86" t="s">
        <v>54</v>
      </c>
      <c r="E86">
        <f>C86*100</f>
        <v>102.50458155161881</v>
      </c>
      <c r="F86" t="s">
        <v>55</v>
      </c>
      <c r="G86">
        <f>E86*(F7+G7)/100</f>
        <v>108.96386742031287</v>
      </c>
      <c r="H86" t="s">
        <v>56</v>
      </c>
    </row>
    <row r="88" spans="1:8" x14ac:dyDescent="0.2">
      <c r="A88" t="s">
        <v>57</v>
      </c>
      <c r="D88">
        <f>-C81</f>
        <v>4.875</v>
      </c>
      <c r="E88" t="s">
        <v>58</v>
      </c>
      <c r="F88" s="2">
        <f>C80</f>
        <v>42506</v>
      </c>
    </row>
    <row r="89" spans="1:8" x14ac:dyDescent="0.2">
      <c r="A89" t="s">
        <v>59</v>
      </c>
      <c r="D89">
        <f>E86/100*L7</f>
        <v>2.370418448381185</v>
      </c>
    </row>
    <row r="90" spans="1:8" x14ac:dyDescent="0.2">
      <c r="A90" t="s">
        <v>60</v>
      </c>
      <c r="D90">
        <f>D88-D89</f>
        <v>2.504581551618815</v>
      </c>
    </row>
    <row r="91" spans="1:8" x14ac:dyDescent="0.2">
      <c r="A91" t="s">
        <v>61</v>
      </c>
      <c r="D91">
        <f>100+L5</f>
        <v>102.5625</v>
      </c>
    </row>
    <row r="92" spans="1:8" x14ac:dyDescent="0.2">
      <c r="A92" t="s">
        <v>62</v>
      </c>
      <c r="D92">
        <f>D90/D91</f>
        <v>2.4420051691591126E-2</v>
      </c>
      <c r="E92" t="s">
        <v>63</v>
      </c>
      <c r="F92">
        <f>100*D92</f>
        <v>2.4420051691591125</v>
      </c>
      <c r="G92" t="s">
        <v>64</v>
      </c>
      <c r="H92">
        <f>D92*(F5+G5)</f>
        <v>2.5608289600837195</v>
      </c>
    </row>
    <row r="95" spans="1:8" x14ac:dyDescent="0.2">
      <c r="A95" t="s">
        <v>65</v>
      </c>
    </row>
    <row r="96" spans="1:8" x14ac:dyDescent="0.2">
      <c r="A96" t="s">
        <v>66</v>
      </c>
      <c r="C96">
        <f>B81</f>
        <v>-4.875</v>
      </c>
    </row>
    <row r="97" spans="1:7" x14ac:dyDescent="0.2">
      <c r="A97" t="s">
        <v>67</v>
      </c>
      <c r="C97">
        <f>C86*L7</f>
        <v>2.370418448381185</v>
      </c>
    </row>
    <row r="98" spans="1:7" x14ac:dyDescent="0.2">
      <c r="A98" t="s">
        <v>68</v>
      </c>
      <c r="C98">
        <f>D92*L5</f>
        <v>6.2576382459702262E-2</v>
      </c>
    </row>
    <row r="99" spans="1:7" x14ac:dyDescent="0.2">
      <c r="A99" t="s">
        <v>69</v>
      </c>
      <c r="C99">
        <f>-(C98+C97+C96)</f>
        <v>2.4420051691591129</v>
      </c>
    </row>
    <row r="100" spans="1:7" x14ac:dyDescent="0.2">
      <c r="A100" t="s">
        <v>70</v>
      </c>
      <c r="C100">
        <f>100+L3</f>
        <v>102.25</v>
      </c>
    </row>
    <row r="101" spans="1:7" x14ac:dyDescent="0.2">
      <c r="A101" t="s">
        <v>71</v>
      </c>
      <c r="C101">
        <f>C99/C100</f>
        <v>2.3882691140920419E-2</v>
      </c>
      <c r="D101" t="s">
        <v>54</v>
      </c>
      <c r="E101">
        <f>C101*100</f>
        <v>2.3882691140920418</v>
      </c>
      <c r="F101" t="s">
        <v>72</v>
      </c>
      <c r="G101">
        <f>C101*(F3+G3)</f>
        <v>2.441940270541882</v>
      </c>
    </row>
    <row r="104" spans="1:7" x14ac:dyDescent="0.2">
      <c r="A104" t="s">
        <v>73</v>
      </c>
    </row>
    <row r="105" spans="1:7" x14ac:dyDescent="0.2">
      <c r="B105" s="2">
        <f>A80</f>
        <v>42264</v>
      </c>
      <c r="C105" s="2">
        <f t="shared" ref="C105:E105" si="4">B80</f>
        <v>42324</v>
      </c>
      <c r="D105" s="2">
        <f t="shared" si="4"/>
        <v>42506</v>
      </c>
      <c r="E105" s="2">
        <f t="shared" si="4"/>
        <v>42689</v>
      </c>
    </row>
    <row r="106" spans="1:7" x14ac:dyDescent="0.2">
      <c r="A106" t="s">
        <v>74</v>
      </c>
      <c r="B106">
        <f>A81</f>
        <v>114.15557065217391</v>
      </c>
      <c r="C106">
        <f t="shared" ref="C106:E106" si="5">B81</f>
        <v>-4.875</v>
      </c>
      <c r="D106">
        <f t="shared" si="5"/>
        <v>-4.875</v>
      </c>
      <c r="E106">
        <f t="shared" si="5"/>
        <v>-104.875</v>
      </c>
    </row>
    <row r="107" spans="1:7" x14ac:dyDescent="0.2">
      <c r="A107" t="s">
        <v>67</v>
      </c>
      <c r="B107">
        <f>-G86</f>
        <v>-108.96386742031287</v>
      </c>
      <c r="C107">
        <f>C86*L7</f>
        <v>2.370418448381185</v>
      </c>
      <c r="D107">
        <f>C107</f>
        <v>2.370418448381185</v>
      </c>
      <c r="E107">
        <f>C86*(100+L7)</f>
        <v>104.875</v>
      </c>
    </row>
    <row r="108" spans="1:7" x14ac:dyDescent="0.2">
      <c r="A108" t="s">
        <v>68</v>
      </c>
      <c r="B108">
        <f>-H92</f>
        <v>-2.5608289600837195</v>
      </c>
      <c r="C108">
        <f>D92*L5</f>
        <v>6.2576382459702262E-2</v>
      </c>
      <c r="D108">
        <f>D92*(100+L5)</f>
        <v>2.504581551618815</v>
      </c>
    </row>
    <row r="109" spans="1:7" x14ac:dyDescent="0.2">
      <c r="A109" t="s">
        <v>75</v>
      </c>
      <c r="B109">
        <f>-G101</f>
        <v>-2.441940270541882</v>
      </c>
      <c r="C109">
        <f>C101*(100+L3)</f>
        <v>2.4420051691591129</v>
      </c>
    </row>
    <row r="111" spans="1:7" x14ac:dyDescent="0.2">
      <c r="A111" t="s">
        <v>76</v>
      </c>
      <c r="B111">
        <f>SUM(B106:B109)</f>
        <v>0.18893400123543946</v>
      </c>
      <c r="C111">
        <f t="shared" ref="C111:E111" si="6">SUM(C106:C109)</f>
        <v>0</v>
      </c>
      <c r="D111">
        <f t="shared" si="6"/>
        <v>0</v>
      </c>
      <c r="E111">
        <f t="shared" si="6"/>
        <v>0</v>
      </c>
    </row>
    <row r="113" spans="1:14" x14ac:dyDescent="0.2">
      <c r="A113" t="s">
        <v>77</v>
      </c>
      <c r="N113" s="6">
        <f>1000000*B111</f>
        <v>188934.00123543947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Problem</vt:lpstr>
      <vt:lpstr>Worked out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2020-08-25T15:21:55Z</dcterms:created>
  <dcterms:modified xsi:type="dcterms:W3CDTF">2020-08-31T18:18:29Z</dcterms:modified>
</cp:coreProperties>
</file>