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mlap/classes/542/2019/oldquizzes/"/>
    </mc:Choice>
  </mc:AlternateContent>
  <xr:revisionPtr revIDLastSave="0" documentId="13_ncr:1_{5F0346FF-447A-A647-8676-E276FD16CC52}" xr6:coauthVersionLast="45" xr6:coauthVersionMax="45" xr10:uidLastSave="{00000000-0000-0000-0000-000000000000}"/>
  <bookViews>
    <workbookView xWindow="2760" yWindow="460" windowWidth="28340" windowHeight="152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36" i="1" l="1"/>
  <c r="G39" i="1"/>
  <c r="F68" i="1"/>
  <c r="F69" i="1"/>
  <c r="D70" i="1"/>
  <c r="F70" i="1"/>
  <c r="H69" i="1"/>
  <c r="D71" i="1"/>
  <c r="D72" i="1"/>
  <c r="I61" i="1"/>
  <c r="I62" i="1"/>
  <c r="I63" i="1"/>
  <c r="I49" i="1"/>
  <c r="G49" i="1"/>
  <c r="H49" i="1"/>
  <c r="J49" i="1"/>
  <c r="E50" i="1"/>
  <c r="I50" i="1"/>
  <c r="G50" i="1"/>
  <c r="H50" i="1"/>
  <c r="J50" i="1"/>
  <c r="J51" i="1"/>
  <c r="F43" i="1"/>
  <c r="F44" i="1"/>
  <c r="F45" i="1"/>
  <c r="D4" i="1"/>
  <c r="D5" i="1"/>
  <c r="D6" i="1"/>
  <c r="E4" i="1"/>
  <c r="E5" i="1"/>
  <c r="E6" i="1"/>
  <c r="F4" i="1"/>
  <c r="F5" i="1"/>
  <c r="F6" i="1"/>
  <c r="G4" i="1"/>
  <c r="G5" i="1"/>
  <c r="G6" i="1"/>
  <c r="H4" i="1"/>
  <c r="H5" i="1"/>
  <c r="H6" i="1"/>
  <c r="C7" i="1"/>
  <c r="E22" i="1"/>
  <c r="D16" i="1"/>
  <c r="D17" i="1"/>
  <c r="D18" i="1"/>
  <c r="E16" i="1"/>
  <c r="E17" i="1"/>
  <c r="E18" i="1"/>
  <c r="F16" i="1"/>
  <c r="F17" i="1"/>
  <c r="F18" i="1"/>
  <c r="G17" i="1"/>
  <c r="G18" i="1"/>
  <c r="H17" i="1"/>
  <c r="H18" i="1"/>
  <c r="C19" i="1"/>
  <c r="D27" i="1"/>
  <c r="D28" i="1"/>
  <c r="J28" i="1"/>
  <c r="D38" i="1"/>
  <c r="F38" i="1"/>
  <c r="D33" i="1"/>
  <c r="D34" i="1"/>
  <c r="D35" i="1"/>
  <c r="E33" i="1"/>
  <c r="E34" i="1"/>
  <c r="E35" i="1"/>
  <c r="F33" i="1"/>
  <c r="F34" i="1"/>
  <c r="F35" i="1"/>
  <c r="G33" i="1"/>
  <c r="G34" i="1"/>
  <c r="G35" i="1"/>
  <c r="H33" i="1"/>
  <c r="H34" i="1"/>
  <c r="H35" i="1"/>
  <c r="C36" i="1"/>
  <c r="E36" i="1"/>
  <c r="F29" i="1"/>
  <c r="G30" i="1"/>
  <c r="P26" i="1"/>
  <c r="E23" i="1"/>
</calcChain>
</file>

<file path=xl/sharedStrings.xml><?xml version="1.0" encoding="utf-8"?>
<sst xmlns="http://schemas.openxmlformats.org/spreadsheetml/2006/main" count="87" uniqueCount="84">
  <si>
    <t xml:space="preserve">  New PV:</t>
    <phoneticPr fontId="3" type="noConversion"/>
  </si>
  <si>
    <t>% loss:</t>
    <phoneticPr fontId="3" type="noConversion"/>
  </si>
  <si>
    <t xml:space="preserve">  divided by delta-r</t>
    <phoneticPr fontId="3" type="noConversion"/>
  </si>
  <si>
    <t>Parallel shift down in yield curve from 6% to 5%:</t>
    <phoneticPr fontId="3" type="noConversion"/>
  </si>
  <si>
    <t>In this example, we know P, dP and dR:</t>
    <phoneticPr fontId="3" type="noConversion"/>
  </si>
  <si>
    <t>P</t>
    <phoneticPr fontId="3" type="noConversion"/>
  </si>
  <si>
    <t>dP</t>
    <phoneticPr fontId="3" type="noConversion"/>
  </si>
  <si>
    <t>dr</t>
    <phoneticPr fontId="3" type="noConversion"/>
  </si>
  <si>
    <t>Duration is -dP/dr / P</t>
    <phoneticPr fontId="3" type="noConversion"/>
  </si>
  <si>
    <t xml:space="preserve"> (Using logs)</t>
    <phoneticPr fontId="3" type="noConversion"/>
  </si>
  <si>
    <t>Verify:</t>
    <phoneticPr fontId="3" type="noConversion"/>
  </si>
  <si>
    <t>df:</t>
    <phoneticPr fontId="3" type="noConversion"/>
  </si>
  <si>
    <t>Bond CF:</t>
    <phoneticPr fontId="3" type="noConversion"/>
  </si>
  <si>
    <t>PV:</t>
    <phoneticPr fontId="3" type="noConversion"/>
  </si>
  <si>
    <t>STRIPS</t>
    <phoneticPr fontId="3" type="noConversion"/>
  </si>
  <si>
    <t>Price:</t>
    <phoneticPr fontId="3" type="noConversion"/>
  </si>
  <si>
    <t>Flat yield curve at:</t>
    <phoneticPr fontId="3" type="noConversion"/>
  </si>
  <si>
    <t>10-year STRIPS:</t>
    <phoneticPr fontId="3" type="noConversion"/>
  </si>
  <si>
    <t>Duration</t>
    <phoneticPr fontId="3" type="noConversion"/>
  </si>
  <si>
    <t>Floater</t>
    <phoneticPr fontId="3" type="noConversion"/>
  </si>
  <si>
    <t>DV01</t>
    <phoneticPr fontId="3" type="noConversion"/>
  </si>
  <si>
    <t xml:space="preserve"> is the DV01 of the position.</t>
    <phoneticPr fontId="3" type="noConversion"/>
  </si>
  <si>
    <t>If rates rise by a basis point, this portfolio will lose $4,875.  It is long duration -- even though it has 0 net investment, the duration of the</t>
    <phoneticPr fontId="3" type="noConversion"/>
  </si>
  <si>
    <t xml:space="preserve">    long leg is much higher than that of the short leg.</t>
    <phoneticPr fontId="3" type="noConversion"/>
  </si>
  <si>
    <t>Percentage change in portfolio value;</t>
    <phoneticPr fontId="3" type="noConversion"/>
  </si>
  <si>
    <t xml:space="preserve">   divided by change in rates:</t>
    <phoneticPr fontId="3" type="noConversion"/>
  </si>
  <si>
    <t xml:space="preserve">     = Implied Portfolio Duration:</t>
    <phoneticPr fontId="3" type="noConversion"/>
  </si>
  <si>
    <t>This means that to a first-order approximation, the portfolio has the same risk as a 14-year STRIPS.</t>
    <phoneticPr fontId="3" type="noConversion"/>
  </si>
  <si>
    <t>Of course, we can verify this:</t>
    <phoneticPr fontId="3" type="noConversion"/>
  </si>
  <si>
    <t>Let's pick an arbitrary starting point for yields:</t>
    <phoneticPr fontId="3" type="noConversion"/>
  </si>
  <si>
    <t>Value of 14-year STRIPS:</t>
    <phoneticPr fontId="3" type="noConversion"/>
  </si>
  <si>
    <t>Par value for 1.4 billion market position:</t>
    <phoneticPr fontId="3" type="noConversion"/>
  </si>
  <si>
    <t>Verify PV:</t>
    <phoneticPr fontId="3" type="noConversion"/>
  </si>
  <si>
    <t>Rates rise to:</t>
    <phoneticPr fontId="3" type="noConversion"/>
  </si>
  <si>
    <t>Prices if rise rise by 1 bp:</t>
    <phoneticPr fontId="3" type="noConversion"/>
  </si>
  <si>
    <t>10-yr STRIPS</t>
    <phoneticPr fontId="3" type="noConversion"/>
  </si>
  <si>
    <t>FV</t>
    <phoneticPr fontId="3" type="noConversion"/>
  </si>
  <si>
    <t>Term</t>
    <phoneticPr fontId="3" type="noConversion"/>
  </si>
  <si>
    <t>Par Amount</t>
    <phoneticPr fontId="3" type="noConversion"/>
  </si>
  <si>
    <t>Note matures in 30 months.  Settlement is a coupon payment date.</t>
    <phoneticPr fontId="3" type="noConversion"/>
  </si>
  <si>
    <t>Time (Yrs):</t>
    <phoneticPr fontId="3" type="noConversion"/>
  </si>
  <si>
    <t>We know that the yield to maturity on this note is 6% on a continuously compounded basis because the definition of the yield to maturity is</t>
    <phoneticPr fontId="3" type="noConversion"/>
  </si>
  <si>
    <t xml:space="preserve">   that single rate--which when we use it to discount all of the note's cash flows-- returns the note's price as the present value.</t>
    <phoneticPr fontId="3" type="noConversion"/>
  </si>
  <si>
    <t xml:space="preserve">    Since the yield curve is flat at 6% cc, then we know it must be the note's yield to maturity.</t>
    <phoneticPr fontId="3" type="noConversion"/>
  </si>
  <si>
    <t>We verify that the duration of the 2.5-year note is less than 2.5, because it pays semi-annual coupons.</t>
    <phoneticPr fontId="3" type="noConversion"/>
  </si>
  <si>
    <t>Value of position:</t>
    <phoneticPr fontId="3" type="noConversion"/>
  </si>
  <si>
    <t xml:space="preserve"> X duration / 10000:</t>
    <phoneticPr fontId="3" type="noConversion"/>
  </si>
  <si>
    <t xml:space="preserve">This position's duration is 2.39, and DV01 = D * Value = </t>
    <phoneticPr fontId="3" type="noConversion"/>
  </si>
  <si>
    <t>When we do the actual scenario analysis -- raising the yield curve by 1 basis point, we see a loss of $4,873 -- showing that DV01 is an approximation.</t>
    <phoneticPr fontId="3" type="noConversion"/>
  </si>
  <si>
    <t>$15 million par position in this note:</t>
    <phoneticPr fontId="3" type="noConversion"/>
  </si>
  <si>
    <t>If we have a STRIPS with a term of:</t>
    <phoneticPr fontId="3" type="noConversion"/>
  </si>
  <si>
    <t xml:space="preserve">  years, this will have the same duration as the 30-month note.</t>
    <phoneticPr fontId="3" type="noConversion"/>
  </si>
  <si>
    <t>The price of this STRIPS is:</t>
    <phoneticPr fontId="3" type="noConversion"/>
  </si>
  <si>
    <t xml:space="preserve">  A portfolio of these STRIPS with the same value as the $15 million par note contains:</t>
    <phoneticPr fontId="3" type="noConversion"/>
  </si>
  <si>
    <t xml:space="preserve"> par value of the STRIPS.</t>
    <phoneticPr fontId="3" type="noConversion"/>
  </si>
  <si>
    <t>df</t>
    <phoneticPr fontId="3" type="noConversion"/>
  </si>
  <si>
    <t>Cash Flow:</t>
    <phoneticPr fontId="3" type="noConversion"/>
  </si>
  <si>
    <t>Coupon:</t>
    <phoneticPr fontId="3" type="noConversion"/>
  </si>
  <si>
    <t>PV:</t>
    <phoneticPr fontId="3" type="noConversion"/>
  </si>
  <si>
    <t>CF Duration:</t>
    <phoneticPr fontId="3" type="noConversion"/>
  </si>
  <si>
    <t>CF wt:</t>
    <phoneticPr fontId="3" type="noConversion"/>
  </si>
  <si>
    <t>wt * D:</t>
    <phoneticPr fontId="3" type="noConversion"/>
  </si>
  <si>
    <t>If the yield curve is flat at y%, then the yield to maturity on any 0-coupon bond, and any coupon bond is also y%.</t>
    <phoneticPr fontId="3" type="noConversion"/>
  </si>
  <si>
    <t xml:space="preserve">  It says if level of the flat yield curve increases by 1 basis point, the value of the portfolio will fall by this amount.</t>
    <phoneticPr fontId="3" type="noConversion"/>
  </si>
  <si>
    <t>Verify: Value of position at 6%:</t>
    <phoneticPr fontId="3" type="noConversion"/>
  </si>
  <si>
    <t xml:space="preserve">        -- at 6.01%:</t>
    <phoneticPr fontId="3" type="noConversion"/>
  </si>
  <si>
    <t>$ Effect of 1 bp increase:</t>
    <phoneticPr fontId="3" type="noConversion"/>
  </si>
  <si>
    <t>Flat yc at 6% cc:</t>
  </si>
  <si>
    <t>We have to compute the note's market value before we can compute its duration (since we have to have the market weights of each cash flow).</t>
  </si>
  <si>
    <t xml:space="preserve">  We know that the note has to sell at a discount since its ytm is greater than its coupon rate.</t>
  </si>
  <si>
    <t xml:space="preserve">     1</t>
  </si>
  <si>
    <t xml:space="preserve">        a)</t>
  </si>
  <si>
    <t xml:space="preserve">        b)</t>
  </si>
  <si>
    <t xml:space="preserve">         d)</t>
  </si>
  <si>
    <t>% Change:</t>
  </si>
  <si>
    <t>% change:</t>
  </si>
  <si>
    <t xml:space="preserve">  (Note that for the STRIPS this is exactly as predicted by duration, as there is no convexity.)</t>
  </si>
  <si>
    <t xml:space="preserve">  (This will be slightly higher--in the case of a rate drop, or lower--in the case of a rate invrease, because of convexity.)</t>
  </si>
  <si>
    <t xml:space="preserve">        e)</t>
  </si>
  <si>
    <t xml:space="preserve">         c)</t>
  </si>
  <si>
    <t xml:space="preserve">      2</t>
  </si>
  <si>
    <t>Market Value</t>
  </si>
  <si>
    <t xml:space="preserve">  The duration of a floater is the time (in years) until the next reset date.</t>
  </si>
  <si>
    <t xml:space="preserve"> 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</si>
</sst>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"/>
    <numFmt numFmtId="166" formatCode="#,##0.00000"/>
  </numFmts>
  <fonts count="6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0" fillId="0" borderId="0" xfId="0" quotePrefix="1"/>
    <xf numFmtId="3" fontId="0" fillId="0" borderId="0" xfId="0" applyNumberFormat="1"/>
    <xf numFmtId="0" fontId="4" fillId="0" borderId="0" xfId="0" applyFont="1"/>
    <xf numFmtId="166" fontId="5" fillId="0" borderId="0" xfId="0" applyNumberFormat="1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P72"/>
  <sheetViews>
    <sheetView tabSelected="1" workbookViewId="0">
      <selection activeCell="I63" sqref="I63"/>
    </sheetView>
  </sheetViews>
  <sheetFormatPr baseColWidth="10" defaultRowHeight="13" x14ac:dyDescent="0.15"/>
  <cols>
    <col min="2" max="2" width="14" customWidth="1"/>
    <col min="3" max="3" width="22.5" customWidth="1"/>
    <col min="4" max="4" width="19" customWidth="1"/>
    <col min="5" max="5" width="15.6640625" customWidth="1"/>
    <col min="6" max="6" width="18.83203125" customWidth="1"/>
    <col min="7" max="7" width="16" customWidth="1"/>
    <col min="8" max="8" width="18.1640625" customWidth="1"/>
    <col min="9" max="9" width="15.6640625" customWidth="1"/>
    <col min="12" max="12" width="16.5" customWidth="1"/>
  </cols>
  <sheetData>
    <row r="1" spans="1:9" x14ac:dyDescent="0.15">
      <c r="A1" s="7" t="s">
        <v>70</v>
      </c>
    </row>
    <row r="2" spans="1:9" x14ac:dyDescent="0.15">
      <c r="B2" t="s">
        <v>39</v>
      </c>
      <c r="F2" t="s">
        <v>57</v>
      </c>
      <c r="G2">
        <v>4.4999999999999998E-2</v>
      </c>
      <c r="H2" t="s">
        <v>67</v>
      </c>
      <c r="I2">
        <v>0.06</v>
      </c>
    </row>
    <row r="3" spans="1:9" x14ac:dyDescent="0.15">
      <c r="B3" t="s">
        <v>40</v>
      </c>
      <c r="C3">
        <v>0</v>
      </c>
      <c r="D3">
        <v>0.5</v>
      </c>
      <c r="E3">
        <v>1</v>
      </c>
      <c r="F3">
        <v>1.5</v>
      </c>
      <c r="G3">
        <v>2</v>
      </c>
      <c r="H3">
        <v>2.5</v>
      </c>
    </row>
    <row r="4" spans="1:9" x14ac:dyDescent="0.15">
      <c r="B4" t="s">
        <v>56</v>
      </c>
      <c r="D4">
        <f>50*$G$2</f>
        <v>2.25</v>
      </c>
      <c r="E4">
        <f t="shared" ref="E4:G4" si="0">50*$G$2</f>
        <v>2.25</v>
      </c>
      <c r="F4">
        <f t="shared" si="0"/>
        <v>2.25</v>
      </c>
      <c r="G4">
        <f t="shared" si="0"/>
        <v>2.25</v>
      </c>
      <c r="H4">
        <f>100*(1+G2/2)</f>
        <v>102.25</v>
      </c>
    </row>
    <row r="5" spans="1:9" x14ac:dyDescent="0.15">
      <c r="B5" t="s">
        <v>55</v>
      </c>
      <c r="D5">
        <f>EXP(-$I$2*D3)</f>
        <v>0.97044553354850815</v>
      </c>
      <c r="E5">
        <f t="shared" ref="E5:F5" si="1">EXP(-$I$2*E3)</f>
        <v>0.94176453358424872</v>
      </c>
      <c r="F5">
        <f t="shared" si="1"/>
        <v>0.91393118527122819</v>
      </c>
      <c r="G5">
        <f t="shared" ref="G5:H5" si="2">EXP(-$I$2*G3)</f>
        <v>0.88692043671715748</v>
      </c>
      <c r="H5">
        <f t="shared" si="2"/>
        <v>0.86070797642505781</v>
      </c>
    </row>
    <row r="6" spans="1:9" x14ac:dyDescent="0.15">
      <c r="B6" t="s">
        <v>58</v>
      </c>
      <c r="D6">
        <f>D4*D5</f>
        <v>2.1835024504841432</v>
      </c>
      <c r="E6">
        <f t="shared" ref="E6:F6" si="3">E4*E5</f>
        <v>2.1189702005645596</v>
      </c>
      <c r="F6">
        <f t="shared" si="3"/>
        <v>2.0563451668602633</v>
      </c>
      <c r="G6">
        <f t="shared" ref="G6:H6" si="4">G4*G5</f>
        <v>1.9955709826136043</v>
      </c>
      <c r="H6">
        <f t="shared" si="4"/>
        <v>88.007390589462162</v>
      </c>
    </row>
    <row r="7" spans="1:9" x14ac:dyDescent="0.15">
      <c r="C7">
        <f>SUM(D6:H6)</f>
        <v>96.361779389984733</v>
      </c>
      <c r="D7" t="s">
        <v>69</v>
      </c>
    </row>
    <row r="9" spans="1:9" x14ac:dyDescent="0.15">
      <c r="A9" t="s">
        <v>71</v>
      </c>
      <c r="B9" t="s">
        <v>41</v>
      </c>
    </row>
    <row r="10" spans="1:9" x14ac:dyDescent="0.15">
      <c r="B10" t="s">
        <v>42</v>
      </c>
    </row>
    <row r="11" spans="1:9" x14ac:dyDescent="0.15">
      <c r="B11" t="s">
        <v>43</v>
      </c>
    </row>
    <row r="12" spans="1:9" x14ac:dyDescent="0.15">
      <c r="B12" t="s">
        <v>62</v>
      </c>
    </row>
    <row r="14" spans="1:9" x14ac:dyDescent="0.15">
      <c r="A14" t="s">
        <v>72</v>
      </c>
      <c r="B14" t="s">
        <v>68</v>
      </c>
    </row>
    <row r="16" spans="1:9" x14ac:dyDescent="0.15">
      <c r="B16" t="s">
        <v>59</v>
      </c>
      <c r="D16">
        <f>D3</f>
        <v>0.5</v>
      </c>
      <c r="E16">
        <f t="shared" ref="E16:F16" si="5">E3</f>
        <v>1</v>
      </c>
      <c r="F16">
        <f t="shared" si="5"/>
        <v>1.5</v>
      </c>
      <c r="G16">
        <v>2</v>
      </c>
      <c r="H16">
        <v>2.5</v>
      </c>
    </row>
    <row r="17" spans="1:16" x14ac:dyDescent="0.15">
      <c r="B17" t="s">
        <v>60</v>
      </c>
      <c r="D17">
        <f>D6/$C$7</f>
        <v>2.2659424351716397E-2</v>
      </c>
      <c r="E17">
        <f t="shared" ref="E17:H17" si="6">E6/$C$7</f>
        <v>2.1989737154903481E-2</v>
      </c>
      <c r="F17">
        <f t="shared" si="6"/>
        <v>2.1339842205881761E-2</v>
      </c>
      <c r="G17">
        <f t="shared" si="6"/>
        <v>2.0709154555327899E-2</v>
      </c>
      <c r="H17">
        <f t="shared" si="6"/>
        <v>0.91330184173217044</v>
      </c>
    </row>
    <row r="18" spans="1:16" x14ac:dyDescent="0.15">
      <c r="B18" t="s">
        <v>61</v>
      </c>
      <c r="D18">
        <f>D16*D17</f>
        <v>1.1329712175858198E-2</v>
      </c>
      <c r="E18">
        <f t="shared" ref="E18:H18" si="7">E16*E17</f>
        <v>2.1989737154903481E-2</v>
      </c>
      <c r="F18">
        <f t="shared" si="7"/>
        <v>3.2009763308822645E-2</v>
      </c>
      <c r="G18">
        <f t="shared" si="7"/>
        <v>4.1418309110655797E-2</v>
      </c>
      <c r="H18">
        <f t="shared" si="7"/>
        <v>2.283254604330426</v>
      </c>
    </row>
    <row r="19" spans="1:16" x14ac:dyDescent="0.15">
      <c r="C19" s="1">
        <f>SUM(D18:H18)</f>
        <v>2.3900021260806663</v>
      </c>
    </row>
    <row r="20" spans="1:16" x14ac:dyDescent="0.15">
      <c r="C20" t="s">
        <v>44</v>
      </c>
    </row>
    <row r="22" spans="1:16" x14ac:dyDescent="0.15">
      <c r="A22" s="9" t="s">
        <v>79</v>
      </c>
      <c r="B22" t="s">
        <v>49</v>
      </c>
      <c r="D22" t="s">
        <v>45</v>
      </c>
      <c r="E22" s="2">
        <f>C7/100*B23</f>
        <v>14454266.90849771</v>
      </c>
    </row>
    <row r="23" spans="1:16" x14ac:dyDescent="0.15">
      <c r="B23" s="2">
        <v>15000000</v>
      </c>
      <c r="D23" t="s">
        <v>46</v>
      </c>
      <c r="E23" s="4">
        <f>E22*C19/10000</f>
        <v>3454.5728642246945</v>
      </c>
      <c r="F23" t="s">
        <v>21</v>
      </c>
      <c r="G23" s="3"/>
      <c r="N23" s="2"/>
    </row>
    <row r="24" spans="1:16" x14ac:dyDescent="0.15">
      <c r="F24" t="s">
        <v>63</v>
      </c>
      <c r="M24" t="s">
        <v>64</v>
      </c>
      <c r="P24">
        <v>14454266.90849771</v>
      </c>
    </row>
    <row r="25" spans="1:16" x14ac:dyDescent="0.15">
      <c r="M25" t="s">
        <v>65</v>
      </c>
      <c r="P25">
        <v>14450812.759588551</v>
      </c>
    </row>
    <row r="26" spans="1:16" x14ac:dyDescent="0.15">
      <c r="M26" t="s">
        <v>66</v>
      </c>
      <c r="P26">
        <f>P25-P24</f>
        <v>-3454.1489091590047</v>
      </c>
    </row>
    <row r="27" spans="1:16" x14ac:dyDescent="0.15">
      <c r="A27" t="s">
        <v>73</v>
      </c>
      <c r="B27" t="s">
        <v>50</v>
      </c>
      <c r="D27" s="3">
        <f>C19</f>
        <v>2.3900021260806663</v>
      </c>
      <c r="E27" t="s">
        <v>51</v>
      </c>
    </row>
    <row r="28" spans="1:16" x14ac:dyDescent="0.15">
      <c r="B28" t="s">
        <v>52</v>
      </c>
      <c r="D28">
        <f>100*EXP(-I2*D27)</f>
        <v>86.640732607589285</v>
      </c>
      <c r="E28" t="s">
        <v>53</v>
      </c>
      <c r="J28" s="2">
        <f>E22/(D28/100)</f>
        <v>16682992.483412577</v>
      </c>
      <c r="K28" t="s">
        <v>54</v>
      </c>
    </row>
    <row r="29" spans="1:16" x14ac:dyDescent="0.15">
      <c r="E29" t="s">
        <v>10</v>
      </c>
      <c r="F29" s="2">
        <f>J28*D28/100</f>
        <v>14454266.90849771</v>
      </c>
    </row>
    <row r="30" spans="1:16" x14ac:dyDescent="0.15">
      <c r="D30" t="s">
        <v>47</v>
      </c>
      <c r="G30">
        <f>D27*F29/10000</f>
        <v>3454.5728642246945</v>
      </c>
    </row>
    <row r="32" spans="1:16" x14ac:dyDescent="0.15">
      <c r="A32" s="9" t="s">
        <v>78</v>
      </c>
      <c r="B32" t="s">
        <v>3</v>
      </c>
      <c r="E32">
        <v>0.05</v>
      </c>
    </row>
    <row r="33" spans="1:9" x14ac:dyDescent="0.15">
      <c r="B33" t="s">
        <v>11</v>
      </c>
      <c r="D33">
        <f>EXP(-$E$32*D3)</f>
        <v>0.97530991202833262</v>
      </c>
      <c r="E33">
        <f t="shared" ref="E33:H33" si="8">EXP(-$E$32*E3)</f>
        <v>0.95122942450071402</v>
      </c>
      <c r="F33">
        <f t="shared" si="8"/>
        <v>0.92774348632855286</v>
      </c>
      <c r="G33">
        <f t="shared" si="8"/>
        <v>0.90483741803595952</v>
      </c>
      <c r="H33">
        <f t="shared" si="8"/>
        <v>0.88249690258459546</v>
      </c>
    </row>
    <row r="34" spans="1:9" x14ac:dyDescent="0.15">
      <c r="B34" t="s">
        <v>12</v>
      </c>
      <c r="D34">
        <f>D4</f>
        <v>2.25</v>
      </c>
      <c r="E34">
        <f t="shared" ref="E34:H34" si="9">E4</f>
        <v>2.25</v>
      </c>
      <c r="F34">
        <f t="shared" si="9"/>
        <v>2.25</v>
      </c>
      <c r="G34">
        <f t="shared" si="9"/>
        <v>2.25</v>
      </c>
      <c r="H34">
        <f t="shared" si="9"/>
        <v>102.25</v>
      </c>
    </row>
    <row r="35" spans="1:9" x14ac:dyDescent="0.15">
      <c r="B35" t="s">
        <v>13</v>
      </c>
      <c r="D35">
        <f>D33*D34</f>
        <v>2.1944473020637485</v>
      </c>
      <c r="E35">
        <f t="shared" ref="E35:F35" si="10">E33*E34</f>
        <v>2.1402662051266064</v>
      </c>
      <c r="F35">
        <f t="shared" si="10"/>
        <v>2.087422844239244</v>
      </c>
      <c r="G35">
        <f t="shared" ref="G35" si="11">G33*G34</f>
        <v>2.0358841905809091</v>
      </c>
      <c r="H35">
        <f t="shared" ref="H35" si="12">H33*H34</f>
        <v>90.235308289274883</v>
      </c>
    </row>
    <row r="36" spans="1:9" x14ac:dyDescent="0.15">
      <c r="C36">
        <f>SUM(D35:H35)</f>
        <v>98.693328831285385</v>
      </c>
      <c r="D36" t="s">
        <v>45</v>
      </c>
      <c r="E36" s="2">
        <f>C36/100*B23</f>
        <v>14803999.324692808</v>
      </c>
      <c r="F36" t="s">
        <v>74</v>
      </c>
      <c r="G36" s="10">
        <f>LN(E36)-LN(E22)</f>
        <v>2.3907710152482053E-2</v>
      </c>
      <c r="H36" s="9" t="s">
        <v>77</v>
      </c>
    </row>
    <row r="38" spans="1:9" x14ac:dyDescent="0.15">
      <c r="B38" t="s">
        <v>14</v>
      </c>
      <c r="C38" t="s">
        <v>15</v>
      </c>
      <c r="D38">
        <f>100*EXP(-D27*E32)</f>
        <v>88.736391348868253</v>
      </c>
      <c r="E38" t="s">
        <v>45</v>
      </c>
      <c r="F38" s="2">
        <f>J28*D38/100</f>
        <v>14803885.498783259</v>
      </c>
    </row>
    <row r="39" spans="1:9" x14ac:dyDescent="0.15">
      <c r="F39" s="9" t="s">
        <v>75</v>
      </c>
      <c r="G39" s="10">
        <f>LN(F38)-LN(E22)</f>
        <v>2.3900021260807591E-2</v>
      </c>
      <c r="H39" s="9" t="s">
        <v>76</v>
      </c>
    </row>
    <row r="41" spans="1:9" x14ac:dyDescent="0.15">
      <c r="A41" s="11" t="s">
        <v>80</v>
      </c>
    </row>
    <row r="42" spans="1:9" x14ac:dyDescent="0.15">
      <c r="B42" t="s">
        <v>16</v>
      </c>
      <c r="C42">
        <v>0.05</v>
      </c>
      <c r="D42" s="12" t="s">
        <v>81</v>
      </c>
      <c r="E42" s="13" t="s">
        <v>18</v>
      </c>
      <c r="F42" s="13" t="s">
        <v>20</v>
      </c>
    </row>
    <row r="43" spans="1:9" x14ac:dyDescent="0.15">
      <c r="C43" t="s">
        <v>17</v>
      </c>
      <c r="D43" s="2">
        <v>5000000</v>
      </c>
      <c r="E43">
        <v>10</v>
      </c>
      <c r="F43" s="14">
        <f>E43*D43/10000</f>
        <v>5000</v>
      </c>
    </row>
    <row r="44" spans="1:9" x14ac:dyDescent="0.15">
      <c r="C44" t="s">
        <v>19</v>
      </c>
      <c r="D44" s="2">
        <v>-5000000</v>
      </c>
      <c r="E44">
        <v>0.25</v>
      </c>
      <c r="F44" s="14">
        <f>E44*D44/10000</f>
        <v>-125</v>
      </c>
      <c r="G44" s="9" t="s">
        <v>82</v>
      </c>
    </row>
    <row r="45" spans="1:9" x14ac:dyDescent="0.15">
      <c r="F45" s="14">
        <f>F43+F44</f>
        <v>4875</v>
      </c>
    </row>
    <row r="46" spans="1:9" x14ac:dyDescent="0.15">
      <c r="B46" t="s">
        <v>22</v>
      </c>
    </row>
    <row r="47" spans="1:9" x14ac:dyDescent="0.15">
      <c r="B47" t="s">
        <v>23</v>
      </c>
    </row>
    <row r="48" spans="1:9" x14ac:dyDescent="0.15">
      <c r="E48" t="s">
        <v>36</v>
      </c>
      <c r="F48" t="s">
        <v>37</v>
      </c>
      <c r="G48">
        <v>0.05</v>
      </c>
      <c r="H48" t="s">
        <v>38</v>
      </c>
      <c r="I48">
        <v>5.0099999999999999E-2</v>
      </c>
    </row>
    <row r="49" spans="1:12" x14ac:dyDescent="0.15">
      <c r="B49" t="s">
        <v>34</v>
      </c>
      <c r="D49" t="s">
        <v>35</v>
      </c>
      <c r="E49">
        <v>100</v>
      </c>
      <c r="F49">
        <v>10</v>
      </c>
      <c r="G49">
        <f>E49*EXP(-F49*G48)</f>
        <v>60.653065971263345</v>
      </c>
      <c r="H49" s="5">
        <f>D43/(G49/100)</f>
        <v>8243606.353500641</v>
      </c>
      <c r="I49">
        <f>E49*EXP(-I48*F49)</f>
        <v>60.592443221718753</v>
      </c>
      <c r="J49" s="2">
        <f>I49/100*H49</f>
        <v>4995002.4991668751</v>
      </c>
      <c r="L49" s="6"/>
    </row>
    <row r="50" spans="1:12" x14ac:dyDescent="0.15">
      <c r="D50" t="s">
        <v>19</v>
      </c>
      <c r="E50">
        <f>100*EXP(G48*F50)</f>
        <v>101.25784515406345</v>
      </c>
      <c r="F50">
        <v>0.25</v>
      </c>
      <c r="G50">
        <f>E50*EXP(-G48*F50)</f>
        <v>100.00000000000001</v>
      </c>
      <c r="H50" s="2">
        <f>D44/(G50/100)</f>
        <v>-4999999.9999999991</v>
      </c>
      <c r="I50">
        <f>E50*EXP(-I48*F50)</f>
        <v>99.997500031249743</v>
      </c>
      <c r="J50" s="2">
        <f>I50/100*H50</f>
        <v>-4999875.0015624864</v>
      </c>
      <c r="L50" s="6"/>
    </row>
    <row r="51" spans="1:12" x14ac:dyDescent="0.15">
      <c r="J51" s="2">
        <f>J49+J50</f>
        <v>-4872.5023956112564</v>
      </c>
    </row>
    <row r="52" spans="1:12" x14ac:dyDescent="0.15">
      <c r="B52" t="s">
        <v>48</v>
      </c>
    </row>
    <row r="55" spans="1:12" x14ac:dyDescent="0.15">
      <c r="A55" s="11" t="s">
        <v>83</v>
      </c>
      <c r="B55" t="s">
        <v>8</v>
      </c>
    </row>
    <row r="56" spans="1:12" x14ac:dyDescent="0.15">
      <c r="D56" t="s">
        <v>4</v>
      </c>
    </row>
    <row r="57" spans="1:12" x14ac:dyDescent="0.15">
      <c r="F57" t="s">
        <v>5</v>
      </c>
      <c r="G57">
        <v>1.4</v>
      </c>
    </row>
    <row r="58" spans="1:12" x14ac:dyDescent="0.15">
      <c r="F58" t="s">
        <v>6</v>
      </c>
      <c r="G58">
        <v>-0.2</v>
      </c>
    </row>
    <row r="59" spans="1:12" x14ac:dyDescent="0.15">
      <c r="F59" t="s">
        <v>7</v>
      </c>
      <c r="G59">
        <v>1.0999999999999999E-2</v>
      </c>
    </row>
    <row r="61" spans="1:12" x14ac:dyDescent="0.15">
      <c r="F61" t="s">
        <v>24</v>
      </c>
      <c r="I61">
        <f>LN(G57+G58)-LN(G57)</f>
        <v>-0.1541506798272583</v>
      </c>
      <c r="J61" t="s">
        <v>9</v>
      </c>
    </row>
    <row r="62" spans="1:12" x14ac:dyDescent="0.15">
      <c r="F62" s="7" t="s">
        <v>25</v>
      </c>
      <c r="I62">
        <f>I61/G59</f>
        <v>-14.013698166114391</v>
      </c>
    </row>
    <row r="63" spans="1:12" x14ac:dyDescent="0.15">
      <c r="F63" s="7" t="s">
        <v>26</v>
      </c>
      <c r="I63" s="15">
        <f>-I62</f>
        <v>14.013698166114391</v>
      </c>
    </row>
    <row r="64" spans="1:12" x14ac:dyDescent="0.15">
      <c r="F64" t="s">
        <v>27</v>
      </c>
    </row>
    <row r="66" spans="2:8" x14ac:dyDescent="0.15">
      <c r="B66" t="s">
        <v>28</v>
      </c>
    </row>
    <row r="67" spans="2:8" x14ac:dyDescent="0.15">
      <c r="C67" t="s">
        <v>29</v>
      </c>
      <c r="F67">
        <v>0.04</v>
      </c>
    </row>
    <row r="68" spans="2:8" x14ac:dyDescent="0.15">
      <c r="C68" t="s">
        <v>30</v>
      </c>
      <c r="F68">
        <f>100*EXP(-14*F67)</f>
        <v>57.120906384881486</v>
      </c>
    </row>
    <row r="69" spans="2:8" x14ac:dyDescent="0.15">
      <c r="C69" t="s">
        <v>31</v>
      </c>
      <c r="F69" s="8">
        <f>1400000000/(F68/100)</f>
        <v>2450941500.4145417</v>
      </c>
      <c r="G69" t="s">
        <v>32</v>
      </c>
      <c r="H69">
        <f>F69*EXP(-F67*14)</f>
        <v>1400000000</v>
      </c>
    </row>
    <row r="70" spans="2:8" x14ac:dyDescent="0.15">
      <c r="C70" t="s">
        <v>33</v>
      </c>
      <c r="D70">
        <f>F67+0.011</f>
        <v>5.1000000000000004E-2</v>
      </c>
      <c r="E70" t="s">
        <v>0</v>
      </c>
      <c r="F70">
        <f>F69*EXP(-14*D70)</f>
        <v>1200180829.4160404</v>
      </c>
    </row>
    <row r="71" spans="2:8" x14ac:dyDescent="0.15">
      <c r="C71" t="s">
        <v>1</v>
      </c>
      <c r="D71">
        <f>LN(F70)-LN(H69)</f>
        <v>-0.15399999999999991</v>
      </c>
    </row>
    <row r="72" spans="2:8" x14ac:dyDescent="0.15">
      <c r="C72" t="s">
        <v>2</v>
      </c>
      <c r="D72">
        <f>D71/0.011</f>
        <v>-13.999999999999993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ignoredErrors>
    <ignoredError sqref="A41" numberStoredAsText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Microsoft Office User</cp:lastModifiedBy>
  <dcterms:created xsi:type="dcterms:W3CDTF">2017-10-18T19:02:43Z</dcterms:created>
  <dcterms:modified xsi:type="dcterms:W3CDTF">2019-09-28T16:49:29Z</dcterms:modified>
</cp:coreProperties>
</file>