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23/ps/3/"/>
    </mc:Choice>
  </mc:AlternateContent>
  <xr:revisionPtr revIDLastSave="0" documentId="13_ncr:1_{BD39DFAB-D0CA-F34E-8E9E-26C36088421D}" xr6:coauthVersionLast="47" xr6:coauthVersionMax="47" xr10:uidLastSave="{00000000-0000-0000-0000-000000000000}"/>
  <bookViews>
    <workbookView xWindow="7000" yWindow="5880" windowWidth="25240" windowHeight="13940" xr2:uid="{99B1BA0B-613F-B048-B391-DF9120186671}"/>
  </bookViews>
  <sheets>
    <sheet name="Desk" sheetId="1" r:id="rId1"/>
  </sheets>
  <definedNames>
    <definedName name="solver_adj" localSheetId="0" hidden="1">Desk!$B$15</definedName>
    <definedName name="solver_cvg" localSheetId="0" hidden="1">1E-20</definedName>
    <definedName name="solver_drv" localSheetId="0" hidden="1">2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Desk!$B$18</definedName>
    <definedName name="solver_pre" localSheetId="0" hidden="1">1E-26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30" i="1"/>
  <c r="C31" i="1"/>
  <c r="C32" i="1"/>
  <c r="C33" i="1"/>
  <c r="C34" i="1"/>
  <c r="C35" i="1"/>
  <c r="C22" i="1"/>
  <c r="G60" i="1"/>
  <c r="C56" i="1"/>
  <c r="AC35" i="1"/>
  <c r="AC37" i="1"/>
  <c r="E57" i="1" s="1"/>
  <c r="A22" i="1"/>
  <c r="B31" i="1"/>
  <c r="B30" i="1"/>
  <c r="B28" i="1"/>
  <c r="B29" i="1"/>
  <c r="B27" i="1"/>
  <c r="A33" i="1"/>
  <c r="A34" i="1" s="1"/>
  <c r="W12" i="1"/>
  <c r="U12" i="1"/>
  <c r="V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D12" i="1"/>
  <c r="N6" i="1"/>
  <c r="N4" i="1"/>
  <c r="D10" i="1" s="1"/>
  <c r="M2" i="1"/>
  <c r="G1" i="1"/>
  <c r="B14" i="1" s="1"/>
  <c r="D60" i="1" l="1"/>
  <c r="B32" i="1"/>
  <c r="B40" i="1"/>
  <c r="A35" i="1"/>
  <c r="B33" i="1"/>
  <c r="A23" i="1"/>
  <c r="D11" i="1"/>
  <c r="D14" i="1" s="1"/>
  <c r="D15" i="1" s="1"/>
  <c r="D16" i="1" s="1"/>
  <c r="E10" i="1"/>
  <c r="N5" i="1"/>
  <c r="N7" i="1" s="1"/>
  <c r="L8" i="1" s="1"/>
  <c r="B44" i="1" l="1"/>
  <c r="E56" i="1"/>
  <c r="F59" i="1" s="1"/>
  <c r="B22" i="1"/>
  <c r="D22" i="1" s="1"/>
  <c r="D29" i="1"/>
  <c r="D31" i="1"/>
  <c r="E28" i="1"/>
  <c r="D28" i="1"/>
  <c r="B23" i="1"/>
  <c r="A24" i="1"/>
  <c r="E29" i="1"/>
  <c r="E30" i="1"/>
  <c r="E27" i="1"/>
  <c r="D27" i="1"/>
  <c r="D30" i="1"/>
  <c r="D32" i="1"/>
  <c r="D33" i="1"/>
  <c r="B35" i="1"/>
  <c r="C57" i="1" s="1"/>
  <c r="F61" i="1" s="1"/>
  <c r="B34" i="1"/>
  <c r="D34" i="1" s="1"/>
  <c r="E11" i="1"/>
  <c r="F10" i="1"/>
  <c r="F62" i="1" l="1"/>
  <c r="E22" i="1"/>
  <c r="D35" i="1"/>
  <c r="E35" i="1"/>
  <c r="B24" i="1"/>
  <c r="A25" i="1"/>
  <c r="E23" i="1"/>
  <c r="D23" i="1"/>
  <c r="E14" i="1"/>
  <c r="E15" i="1" s="1"/>
  <c r="E16" i="1" s="1"/>
  <c r="E31" i="1"/>
  <c r="E32" i="1"/>
  <c r="E34" i="1"/>
  <c r="E33" i="1"/>
  <c r="G10" i="1"/>
  <c r="F11" i="1"/>
  <c r="F23" i="1" l="1"/>
  <c r="F22" i="1"/>
  <c r="E24" i="1"/>
  <c r="F24" i="1"/>
  <c r="D24" i="1"/>
  <c r="F14" i="1"/>
  <c r="F15" i="1" s="1"/>
  <c r="F16" i="1" s="1"/>
  <c r="F32" i="1"/>
  <c r="F34" i="1"/>
  <c r="F31" i="1"/>
  <c r="F33" i="1"/>
  <c r="F30" i="1"/>
  <c r="F27" i="1"/>
  <c r="F29" i="1"/>
  <c r="F28" i="1"/>
  <c r="B25" i="1"/>
  <c r="A26" i="1"/>
  <c r="F35" i="1"/>
  <c r="H10" i="1"/>
  <c r="G11" i="1"/>
  <c r="G22" i="1" s="1"/>
  <c r="G14" i="1" l="1"/>
  <c r="G15" i="1" s="1"/>
  <c r="G16" i="1" s="1"/>
  <c r="G31" i="1"/>
  <c r="G33" i="1"/>
  <c r="G34" i="1"/>
  <c r="G32" i="1"/>
  <c r="G29" i="1"/>
  <c r="G30" i="1"/>
  <c r="G28" i="1"/>
  <c r="G27" i="1"/>
  <c r="G23" i="1"/>
  <c r="G35" i="1"/>
  <c r="G24" i="1"/>
  <c r="B26" i="1"/>
  <c r="C40" i="1" a="1"/>
  <c r="D25" i="1"/>
  <c r="E25" i="1"/>
  <c r="F25" i="1"/>
  <c r="G25" i="1"/>
  <c r="I10" i="1"/>
  <c r="H11" i="1"/>
  <c r="H22" i="1" s="1"/>
  <c r="H14" i="1" l="1"/>
  <c r="H15" i="1" s="1"/>
  <c r="H16" i="1" s="1"/>
  <c r="H31" i="1"/>
  <c r="H32" i="1"/>
  <c r="H33" i="1"/>
  <c r="H30" i="1"/>
  <c r="H29" i="1"/>
  <c r="H27" i="1"/>
  <c r="H34" i="1"/>
  <c r="H28" i="1"/>
  <c r="H35" i="1"/>
  <c r="H23" i="1"/>
  <c r="H24" i="1"/>
  <c r="H25" i="1"/>
  <c r="C40" i="1"/>
  <c r="E40" i="1"/>
  <c r="D40" i="1"/>
  <c r="M40" i="1"/>
  <c r="K40" i="1"/>
  <c r="N40" i="1"/>
  <c r="L40" i="1"/>
  <c r="J40" i="1"/>
  <c r="I40" i="1"/>
  <c r="H40" i="1"/>
  <c r="G40" i="1"/>
  <c r="F40" i="1"/>
  <c r="O40" i="1"/>
  <c r="F26" i="1"/>
  <c r="H26" i="1"/>
  <c r="D26" i="1"/>
  <c r="E26" i="1"/>
  <c r="G26" i="1"/>
  <c r="J10" i="1"/>
  <c r="I11" i="1"/>
  <c r="I22" i="1" s="1"/>
  <c r="I14" i="1" l="1"/>
  <c r="I15" i="1" s="1"/>
  <c r="I16" i="1" s="1"/>
  <c r="I32" i="1"/>
  <c r="I31" i="1"/>
  <c r="I33" i="1"/>
  <c r="I29" i="1"/>
  <c r="I30" i="1"/>
  <c r="I34" i="1"/>
  <c r="I27" i="1"/>
  <c r="I28" i="1"/>
  <c r="I35" i="1"/>
  <c r="I23" i="1"/>
  <c r="I24" i="1"/>
  <c r="I25" i="1"/>
  <c r="I26" i="1"/>
  <c r="K10" i="1"/>
  <c r="J11" i="1"/>
  <c r="J22" i="1" s="1"/>
  <c r="J14" i="1" l="1"/>
  <c r="J15" i="1" s="1"/>
  <c r="J16" i="1" s="1"/>
  <c r="J33" i="1"/>
  <c r="J31" i="1"/>
  <c r="J32" i="1"/>
  <c r="J27" i="1"/>
  <c r="J29" i="1"/>
  <c r="J30" i="1"/>
  <c r="J28" i="1"/>
  <c r="J34" i="1"/>
  <c r="J35" i="1"/>
  <c r="J23" i="1"/>
  <c r="J24" i="1"/>
  <c r="J25" i="1"/>
  <c r="J26" i="1"/>
  <c r="L10" i="1"/>
  <c r="K11" i="1"/>
  <c r="K22" i="1" s="1"/>
  <c r="K14" i="1" l="1"/>
  <c r="K15" i="1" s="1"/>
  <c r="K16" i="1" s="1"/>
  <c r="K32" i="1"/>
  <c r="K31" i="1"/>
  <c r="K30" i="1"/>
  <c r="K33" i="1"/>
  <c r="K34" i="1"/>
  <c r="K28" i="1"/>
  <c r="K29" i="1"/>
  <c r="K27" i="1"/>
  <c r="K23" i="1"/>
  <c r="K35" i="1"/>
  <c r="K24" i="1"/>
  <c r="K25" i="1"/>
  <c r="K26" i="1"/>
  <c r="M10" i="1"/>
  <c r="L11" i="1"/>
  <c r="L22" i="1" s="1"/>
  <c r="L32" i="1" l="1"/>
  <c r="L14" i="1"/>
  <c r="L15" i="1" s="1"/>
  <c r="L16" i="1" s="1"/>
  <c r="L33" i="1"/>
  <c r="L30" i="1"/>
  <c r="L31" i="1"/>
  <c r="L27" i="1"/>
  <c r="L34" i="1"/>
  <c r="L28" i="1"/>
  <c r="L29" i="1"/>
  <c r="L35" i="1"/>
  <c r="L23" i="1"/>
  <c r="L24" i="1"/>
  <c r="L25" i="1"/>
  <c r="L26" i="1"/>
  <c r="N10" i="1"/>
  <c r="M11" i="1"/>
  <c r="M22" i="1" s="1"/>
  <c r="M14" i="1" l="1"/>
  <c r="M15" i="1" s="1"/>
  <c r="M16" i="1" s="1"/>
  <c r="M33" i="1"/>
  <c r="M32" i="1"/>
  <c r="M31" i="1"/>
  <c r="M34" i="1"/>
  <c r="M29" i="1"/>
  <c r="M30" i="1"/>
  <c r="M28" i="1"/>
  <c r="M27" i="1"/>
  <c r="M35" i="1"/>
  <c r="M23" i="1"/>
  <c r="M24" i="1"/>
  <c r="M25" i="1"/>
  <c r="M26" i="1"/>
  <c r="O10" i="1"/>
  <c r="N11" i="1"/>
  <c r="N22" i="1" s="1"/>
  <c r="N33" i="1" l="1"/>
  <c r="N14" i="1"/>
  <c r="N15" i="1" s="1"/>
  <c r="N16" i="1" s="1"/>
  <c r="N32" i="1"/>
  <c r="N30" i="1"/>
  <c r="N31" i="1"/>
  <c r="N29" i="1"/>
  <c r="N34" i="1"/>
  <c r="N27" i="1"/>
  <c r="N28" i="1"/>
  <c r="N23" i="1"/>
  <c r="N35" i="1"/>
  <c r="N24" i="1"/>
  <c r="N25" i="1"/>
  <c r="N26" i="1"/>
  <c r="P10" i="1"/>
  <c r="O11" i="1"/>
  <c r="O22" i="1" s="1"/>
  <c r="O14" i="1" l="1"/>
  <c r="O15" i="1" s="1"/>
  <c r="O16" i="1" s="1"/>
  <c r="O33" i="1"/>
  <c r="O32" i="1"/>
  <c r="O34" i="1"/>
  <c r="O31" i="1"/>
  <c r="O30" i="1"/>
  <c r="O29" i="1"/>
  <c r="O27" i="1"/>
  <c r="O28" i="1"/>
  <c r="O23" i="1"/>
  <c r="O35" i="1"/>
  <c r="O24" i="1"/>
  <c r="O25" i="1"/>
  <c r="O26" i="1"/>
  <c r="Q10" i="1"/>
  <c r="P11" i="1"/>
  <c r="P22" i="1" s="1"/>
  <c r="P14" i="1" l="1"/>
  <c r="P15" i="1" s="1"/>
  <c r="P16" i="1" s="1"/>
  <c r="P32" i="1"/>
  <c r="P34" i="1"/>
  <c r="P31" i="1"/>
  <c r="P33" i="1"/>
  <c r="P28" i="1"/>
  <c r="P30" i="1"/>
  <c r="P29" i="1"/>
  <c r="P27" i="1"/>
  <c r="P35" i="1"/>
  <c r="P23" i="1"/>
  <c r="P24" i="1"/>
  <c r="P25" i="1"/>
  <c r="P26" i="1"/>
  <c r="R10" i="1"/>
  <c r="Q11" i="1"/>
  <c r="Q22" i="1" s="1"/>
  <c r="Q14" i="1" l="1"/>
  <c r="Q15" i="1" s="1"/>
  <c r="Q16" i="1" s="1"/>
  <c r="Q33" i="1"/>
  <c r="Q34" i="1"/>
  <c r="Q31" i="1"/>
  <c r="Q32" i="1"/>
  <c r="Q29" i="1"/>
  <c r="Q27" i="1"/>
  <c r="Q28" i="1"/>
  <c r="Q30" i="1"/>
  <c r="Q23" i="1"/>
  <c r="Q35" i="1"/>
  <c r="Q24" i="1"/>
  <c r="Q25" i="1"/>
  <c r="Q26" i="1"/>
  <c r="S10" i="1"/>
  <c r="R11" i="1"/>
  <c r="R22" i="1" s="1"/>
  <c r="R14" i="1" l="1"/>
  <c r="R15" i="1" s="1"/>
  <c r="R16" i="1" s="1"/>
  <c r="R33" i="1"/>
  <c r="R32" i="1"/>
  <c r="R31" i="1"/>
  <c r="R29" i="1"/>
  <c r="R27" i="1"/>
  <c r="R34" i="1"/>
  <c r="R28" i="1"/>
  <c r="R30" i="1"/>
  <c r="R23" i="1"/>
  <c r="R35" i="1"/>
  <c r="R24" i="1"/>
  <c r="R25" i="1"/>
  <c r="R26" i="1"/>
  <c r="T10" i="1"/>
  <c r="S11" i="1"/>
  <c r="S22" i="1" s="1"/>
  <c r="S14" i="1" l="1"/>
  <c r="S15" i="1" s="1"/>
  <c r="S16" i="1" s="1"/>
  <c r="S33" i="1"/>
  <c r="S34" i="1"/>
  <c r="S31" i="1"/>
  <c r="S32" i="1"/>
  <c r="S27" i="1"/>
  <c r="S28" i="1"/>
  <c r="S29" i="1"/>
  <c r="S30" i="1"/>
  <c r="S35" i="1"/>
  <c r="S23" i="1"/>
  <c r="S24" i="1"/>
  <c r="S25" i="1"/>
  <c r="S26" i="1"/>
  <c r="U10" i="1"/>
  <c r="T11" i="1"/>
  <c r="T22" i="1" s="1"/>
  <c r="U11" i="1" l="1"/>
  <c r="U22" i="1" s="1"/>
  <c r="V10" i="1"/>
  <c r="T14" i="1"/>
  <c r="T15" i="1" s="1"/>
  <c r="T16" i="1" s="1"/>
  <c r="T31" i="1"/>
  <c r="T32" i="1"/>
  <c r="T34" i="1"/>
  <c r="T33" i="1"/>
  <c r="T27" i="1"/>
  <c r="T30" i="1"/>
  <c r="T29" i="1"/>
  <c r="T28" i="1"/>
  <c r="T23" i="1"/>
  <c r="T35" i="1"/>
  <c r="T24" i="1"/>
  <c r="T25" i="1"/>
  <c r="T26" i="1"/>
  <c r="W10" i="1" l="1"/>
  <c r="W11" i="1" s="1"/>
  <c r="W22" i="1" s="1"/>
  <c r="V11" i="1"/>
  <c r="V22" i="1" s="1"/>
  <c r="U14" i="1"/>
  <c r="U15" i="1" s="1"/>
  <c r="U16" i="1" s="1"/>
  <c r="U33" i="1"/>
  <c r="U31" i="1"/>
  <c r="U34" i="1"/>
  <c r="U32" i="1"/>
  <c r="U30" i="1"/>
  <c r="U28" i="1"/>
  <c r="U27" i="1"/>
  <c r="U29" i="1"/>
  <c r="U35" i="1"/>
  <c r="U23" i="1"/>
  <c r="U24" i="1"/>
  <c r="U25" i="1"/>
  <c r="U26" i="1"/>
  <c r="Y22" i="1" l="1"/>
  <c r="B41" i="1" s="1"/>
  <c r="B42" i="1" s="1"/>
  <c r="B46" i="1" s="1"/>
  <c r="B47" i="1" s="1"/>
  <c r="C49" i="1" s="1"/>
  <c r="V14" i="1"/>
  <c r="V15" i="1" s="1"/>
  <c r="V16" i="1" s="1"/>
  <c r="V34" i="1"/>
  <c r="V31" i="1"/>
  <c r="V33" i="1"/>
  <c r="V32" i="1"/>
  <c r="V27" i="1"/>
  <c r="V30" i="1"/>
  <c r="V28" i="1"/>
  <c r="V29" i="1"/>
  <c r="V35" i="1"/>
  <c r="V23" i="1"/>
  <c r="V24" i="1"/>
  <c r="V25" i="1"/>
  <c r="V26" i="1"/>
  <c r="W14" i="1"/>
  <c r="W15" i="1" s="1"/>
  <c r="W16" i="1" s="1"/>
  <c r="W33" i="1"/>
  <c r="W34" i="1"/>
  <c r="W32" i="1"/>
  <c r="W31" i="1"/>
  <c r="W28" i="1"/>
  <c r="W27" i="1"/>
  <c r="W29" i="1"/>
  <c r="W30" i="1"/>
  <c r="W23" i="1"/>
  <c r="W35" i="1"/>
  <c r="W24" i="1"/>
  <c r="W25" i="1"/>
  <c r="W26" i="1"/>
  <c r="C48" i="1" l="1"/>
  <c r="Y33" i="1"/>
  <c r="Y26" i="1"/>
  <c r="Y30" i="1"/>
  <c r="B17" i="1"/>
  <c r="B18" i="1" s="1"/>
  <c r="Y28" i="1"/>
  <c r="Y25" i="1"/>
  <c r="Y35" i="1"/>
  <c r="AA35" i="1" s="1"/>
  <c r="Y29" i="1"/>
  <c r="Y32" i="1"/>
  <c r="Y24" i="1"/>
  <c r="Y23" i="1"/>
  <c r="Y27" i="1"/>
  <c r="Y31" i="1"/>
  <c r="Y34" i="1"/>
  <c r="C41" i="1" l="1" a="1"/>
  <c r="C41" i="1" l="1"/>
  <c r="C42" i="1" s="1"/>
  <c r="C46" i="1" s="1"/>
  <c r="C47" i="1" s="1"/>
  <c r="N41" i="1"/>
  <c r="N42" i="1" s="1"/>
  <c r="N46" i="1" s="1"/>
  <c r="K41" i="1"/>
  <c r="K42" i="1" s="1"/>
  <c r="K46" i="1" s="1"/>
  <c r="H41" i="1"/>
  <c r="H42" i="1" s="1"/>
  <c r="H46" i="1" s="1"/>
  <c r="P41" i="1"/>
  <c r="J41" i="1"/>
  <c r="J42" i="1" s="1"/>
  <c r="J46" i="1" s="1"/>
  <c r="I41" i="1"/>
  <c r="I42" i="1" s="1"/>
  <c r="I46" i="1" s="1"/>
  <c r="E41" i="1"/>
  <c r="E42" i="1" s="1"/>
  <c r="E46" i="1" s="1"/>
  <c r="L41" i="1"/>
  <c r="L42" i="1" s="1"/>
  <c r="L46" i="1" s="1"/>
  <c r="F41" i="1"/>
  <c r="F42" i="1" s="1"/>
  <c r="F46" i="1" s="1"/>
  <c r="D41" i="1"/>
  <c r="D42" i="1" s="1"/>
  <c r="D46" i="1" s="1"/>
  <c r="O41" i="1"/>
  <c r="O42" i="1" s="1"/>
  <c r="M41" i="1"/>
  <c r="M42" i="1" s="1"/>
  <c r="M46" i="1" s="1"/>
  <c r="G41" i="1"/>
  <c r="G42" i="1" s="1"/>
  <c r="G46" i="1" s="1"/>
  <c r="O46" i="1" l="1"/>
  <c r="P45" i="1"/>
  <c r="G47" i="1"/>
  <c r="H49" i="1" s="1"/>
  <c r="H48" i="1"/>
  <c r="D47" i="1"/>
  <c r="E49" i="1" s="1"/>
  <c r="E48" i="1"/>
  <c r="J47" i="1"/>
  <c r="K49" i="1" s="1"/>
  <c r="K48" i="1"/>
  <c r="M47" i="1"/>
  <c r="N49" i="1" s="1"/>
  <c r="N48" i="1"/>
  <c r="L47" i="1"/>
  <c r="M49" i="1" s="1"/>
  <c r="M48" i="1"/>
  <c r="N47" i="1"/>
  <c r="O49" i="1" s="1"/>
  <c r="O48" i="1"/>
  <c r="F47" i="1"/>
  <c r="G49" i="1" s="1"/>
  <c r="G48" i="1"/>
  <c r="E47" i="1"/>
  <c r="F49" i="1" s="1"/>
  <c r="F48" i="1"/>
  <c r="I47" i="1"/>
  <c r="J49" i="1" s="1"/>
  <c r="J48" i="1"/>
  <c r="H47" i="1"/>
  <c r="I49" i="1" s="1"/>
  <c r="I48" i="1"/>
  <c r="K47" i="1"/>
  <c r="L49" i="1" s="1"/>
  <c r="L48" i="1"/>
  <c r="D49" i="1"/>
  <c r="D48" i="1"/>
  <c r="O47" i="1" l="1"/>
  <c r="P49" i="1" s="1"/>
  <c r="R49" i="1" s="1"/>
  <c r="P48" i="1"/>
  <c r="R48" i="1" s="1"/>
  <c r="R51" i="1" l="1"/>
</calcChain>
</file>

<file path=xl/sharedStrings.xml><?xml version="1.0" encoding="utf-8"?>
<sst xmlns="http://schemas.openxmlformats.org/spreadsheetml/2006/main" count="56" uniqueCount="55">
  <si>
    <t>Purchase the note on</t>
  </si>
  <si>
    <t xml:space="preserve">  Transaction settles on </t>
  </si>
  <si>
    <t>Buy</t>
  </si>
  <si>
    <t>par at the ask:</t>
  </si>
  <si>
    <t>99-12+</t>
  </si>
  <si>
    <t>in % terms:</t>
  </si>
  <si>
    <t>Accrued Interest:</t>
  </si>
  <si>
    <t>last coupon / issue:</t>
  </si>
  <si>
    <t>Next coupon:</t>
  </si>
  <si>
    <t>% of coupon per elaps:</t>
  </si>
  <si>
    <t>$ coupon:</t>
  </si>
  <si>
    <t>AI:</t>
  </si>
  <si>
    <t>Cash Price:</t>
  </si>
  <si>
    <t>Cash Flow timeline:</t>
  </si>
  <si>
    <t xml:space="preserve">      Contractual Dates:</t>
  </si>
  <si>
    <t xml:space="preserve">       Actual Dates:</t>
  </si>
  <si>
    <t xml:space="preserve">       Cash Flows:</t>
  </si>
  <si>
    <t xml:space="preserve">   Settle:</t>
  </si>
  <si>
    <t>Term:</t>
  </si>
  <si>
    <t xml:space="preserve">        ccytm / guess:</t>
  </si>
  <si>
    <t xml:space="preserve">        PV (@ccytm):</t>
  </si>
  <si>
    <t>Criterion:</t>
  </si>
  <si>
    <t>Going forward:</t>
  </si>
  <si>
    <t>Settle</t>
  </si>
  <si>
    <t>ytm:</t>
  </si>
  <si>
    <t>Date</t>
  </si>
  <si>
    <t>PV (CF):</t>
  </si>
  <si>
    <t>Note Value at ask</t>
  </si>
  <si>
    <t>Convert to nearest 32nd:</t>
  </si>
  <si>
    <t>Ask quote:</t>
  </si>
  <si>
    <t xml:space="preserve">Assume that spread is 1/2 of a 32nd.  </t>
  </si>
  <si>
    <t>Cash price at bid:</t>
  </si>
  <si>
    <t>Timeline of position:</t>
  </si>
  <si>
    <t>Position Value</t>
  </si>
  <si>
    <t>Note Value</t>
  </si>
  <si>
    <t>Haircut:</t>
  </si>
  <si>
    <t>Cash purchase:</t>
  </si>
  <si>
    <t>Firm Capital Req'd:</t>
  </si>
  <si>
    <t>Repo:</t>
  </si>
  <si>
    <t>Repo Interest:</t>
  </si>
  <si>
    <t>Repo rate to a cash borrower:</t>
  </si>
  <si>
    <t>Cost of firm capital:</t>
  </si>
  <si>
    <t xml:space="preserve">    Sell to close position:</t>
  </si>
  <si>
    <t>Discussion:</t>
  </si>
  <si>
    <t>We bought</t>
  </si>
  <si>
    <t xml:space="preserve"> par value of a note at</t>
  </si>
  <si>
    <t xml:space="preserve">We held the note for </t>
  </si>
  <si>
    <t xml:space="preserve"> days and sold it for</t>
  </si>
  <si>
    <t>There were no coupon payments during our holding period.</t>
  </si>
  <si>
    <t>So in the absence of capital costs and the time value of money the P&amp;L is:</t>
  </si>
  <si>
    <t>Roughly speaking we financed around</t>
  </si>
  <si>
    <t xml:space="preserve"> using overnight repo at a rate of</t>
  </si>
  <si>
    <t>For the period we would expect this to cost around:</t>
  </si>
  <si>
    <t>So we would expect the trade P&amp;L to be in the ballpark of:</t>
  </si>
  <si>
    <t>Daily change in ytm: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</si>
</sst>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_(&quot;$&quot;* #,##0_);_(&quot;$&quot;* \(#,##0\);_(&quot;$&quot;* &quot;-&quot;??_);_(@_)"/>
    <numFmt numFmtId="166" formatCode="0.0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2" fillId="0" borderId="0" xfId="0" applyFont="1"/>
    <xf numFmtId="166" fontId="0" fillId="0" borderId="0" xfId="0" applyNumberFormat="1"/>
    <xf numFmtId="44" fontId="0" fillId="0" borderId="0" xfId="0" applyNumberFormat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3C73-465B-894A-9EFE-6487163DEFDD}">
  <dimension ref="A1:AC62"/>
  <sheetViews>
    <sheetView tabSelected="1" topLeftCell="A42" workbookViewId="0">
      <selection activeCell="C22" sqref="C22:C35"/>
    </sheetView>
  </sheetViews>
  <sheetFormatPr baseColWidth="10" defaultRowHeight="16" x14ac:dyDescent="0.2"/>
  <cols>
    <col min="1" max="1" width="19.83203125" bestFit="1" customWidth="1"/>
    <col min="2" max="2" width="17.83203125" customWidth="1"/>
    <col min="3" max="3" width="16" bestFit="1" customWidth="1"/>
    <col min="4" max="4" width="23" bestFit="1" customWidth="1"/>
    <col min="5" max="5" width="26.33203125" customWidth="1"/>
    <col min="6" max="6" width="20.5" bestFit="1" customWidth="1"/>
    <col min="7" max="7" width="23.83203125" bestFit="1" customWidth="1"/>
    <col min="8" max="8" width="22.83203125" bestFit="1" customWidth="1"/>
    <col min="9" max="9" width="26.83203125" bestFit="1" customWidth="1"/>
    <col min="10" max="10" width="21.5" bestFit="1" customWidth="1"/>
    <col min="11" max="11" width="23.83203125" bestFit="1" customWidth="1"/>
    <col min="12" max="12" width="22.33203125" bestFit="1" customWidth="1"/>
    <col min="13" max="13" width="24.5" bestFit="1" customWidth="1"/>
    <col min="14" max="14" width="25.1640625" bestFit="1" customWidth="1"/>
    <col min="15" max="15" width="22.1640625" bestFit="1" customWidth="1"/>
    <col min="16" max="16" width="23" bestFit="1" customWidth="1"/>
    <col min="17" max="17" width="24.33203125" bestFit="1" customWidth="1"/>
    <col min="18" max="18" width="20.5" bestFit="1" customWidth="1"/>
    <col min="19" max="19" width="23.83203125" bestFit="1" customWidth="1"/>
    <col min="20" max="20" width="22.1640625" bestFit="1" customWidth="1"/>
    <col min="21" max="21" width="23.83203125" bestFit="1" customWidth="1"/>
    <col min="22" max="22" width="22.1640625" bestFit="1" customWidth="1"/>
    <col min="23" max="23" width="26.83203125" bestFit="1" customWidth="1"/>
  </cols>
  <sheetData>
    <row r="1" spans="1:23" x14ac:dyDescent="0.2">
      <c r="A1" t="s">
        <v>0</v>
      </c>
      <c r="D1" s="2">
        <v>45422</v>
      </c>
      <c r="E1" t="s">
        <v>1</v>
      </c>
      <c r="G1" s="2">
        <f>D1+3</f>
        <v>45425</v>
      </c>
      <c r="I1">
        <v>4.6249999999999999E-2</v>
      </c>
      <c r="J1" s="1">
        <v>48990</v>
      </c>
    </row>
    <row r="2" spans="1:23" x14ac:dyDescent="0.2">
      <c r="G2" t="s">
        <v>2</v>
      </c>
      <c r="H2" s="3">
        <v>500000000</v>
      </c>
      <c r="I2" t="s">
        <v>3</v>
      </c>
      <c r="K2" t="s">
        <v>4</v>
      </c>
      <c r="L2" t="s">
        <v>5</v>
      </c>
      <c r="M2">
        <f>99+12.5/32</f>
        <v>99.390625</v>
      </c>
    </row>
    <row r="3" spans="1:23" x14ac:dyDescent="0.2">
      <c r="A3" t="s">
        <v>35</v>
      </c>
      <c r="B3">
        <v>0.02</v>
      </c>
      <c r="J3" t="s">
        <v>6</v>
      </c>
      <c r="L3" t="s">
        <v>7</v>
      </c>
      <c r="N3" s="1">
        <v>45337</v>
      </c>
    </row>
    <row r="4" spans="1:23" x14ac:dyDescent="0.2">
      <c r="L4" t="s">
        <v>8</v>
      </c>
      <c r="N4" s="1">
        <f>EDATE(N3,6)</f>
        <v>45519</v>
      </c>
    </row>
    <row r="5" spans="1:23" x14ac:dyDescent="0.2">
      <c r="L5" t="s">
        <v>9</v>
      </c>
      <c r="N5">
        <f>(G1-N3)/(N4-N3)</f>
        <v>0.48351648351648352</v>
      </c>
    </row>
    <row r="6" spans="1:23" x14ac:dyDescent="0.2">
      <c r="A6" t="s">
        <v>40</v>
      </c>
      <c r="C6">
        <v>5.57E-2</v>
      </c>
      <c r="L6" t="s">
        <v>10</v>
      </c>
      <c r="N6">
        <f>50*I1</f>
        <v>2.3125</v>
      </c>
    </row>
    <row r="7" spans="1:23" x14ac:dyDescent="0.2">
      <c r="A7" t="s">
        <v>41</v>
      </c>
      <c r="C7">
        <v>0.11</v>
      </c>
      <c r="L7" t="s">
        <v>11</v>
      </c>
      <c r="N7">
        <f>N5*N6</f>
        <v>1.1181318681318682</v>
      </c>
    </row>
    <row r="8" spans="1:23" x14ac:dyDescent="0.2">
      <c r="K8" s="4" t="s">
        <v>12</v>
      </c>
      <c r="L8" s="4">
        <f>M2+N7</f>
        <v>100.50875686813187</v>
      </c>
    </row>
    <row r="9" spans="1:23" x14ac:dyDescent="0.2">
      <c r="A9" t="s">
        <v>13</v>
      </c>
    </row>
    <row r="10" spans="1:23" x14ac:dyDescent="0.2">
      <c r="A10" t="s">
        <v>14</v>
      </c>
      <c r="D10" s="2">
        <f>N4</f>
        <v>45519</v>
      </c>
      <c r="E10" s="2">
        <f>EDATE(D10,6)</f>
        <v>45703</v>
      </c>
      <c r="F10" s="2">
        <f t="shared" ref="F10:U10" si="0">EDATE(E10,6)</f>
        <v>45884</v>
      </c>
      <c r="G10" s="2">
        <f t="shared" si="0"/>
        <v>46068</v>
      </c>
      <c r="H10" s="2">
        <f t="shared" si="0"/>
        <v>46249</v>
      </c>
      <c r="I10" s="2">
        <f t="shared" si="0"/>
        <v>46433</v>
      </c>
      <c r="J10" s="2">
        <f t="shared" si="0"/>
        <v>46614</v>
      </c>
      <c r="K10" s="2">
        <f t="shared" si="0"/>
        <v>46798</v>
      </c>
      <c r="L10" s="2">
        <f t="shared" si="0"/>
        <v>46980</v>
      </c>
      <c r="M10" s="2">
        <f t="shared" si="0"/>
        <v>47164</v>
      </c>
      <c r="N10" s="2">
        <f t="shared" si="0"/>
        <v>47345</v>
      </c>
      <c r="O10" s="2">
        <f t="shared" si="0"/>
        <v>47529</v>
      </c>
      <c r="P10" s="2">
        <f t="shared" si="0"/>
        <v>47710</v>
      </c>
      <c r="Q10" s="2">
        <f t="shared" si="0"/>
        <v>47894</v>
      </c>
      <c r="R10" s="2">
        <f t="shared" si="0"/>
        <v>48075</v>
      </c>
      <c r="S10" s="2">
        <f t="shared" si="0"/>
        <v>48259</v>
      </c>
      <c r="T10" s="2">
        <f t="shared" si="0"/>
        <v>48441</v>
      </c>
      <c r="U10" s="2">
        <f t="shared" si="0"/>
        <v>48625</v>
      </c>
      <c r="V10" s="2">
        <f t="shared" ref="V10:W10" si="1">EDATE(U10,6)</f>
        <v>48806</v>
      </c>
      <c r="W10" s="2">
        <f t="shared" si="1"/>
        <v>48990</v>
      </c>
    </row>
    <row r="11" spans="1:23" x14ac:dyDescent="0.2">
      <c r="A11" t="s">
        <v>15</v>
      </c>
      <c r="D11" s="2">
        <f>D10</f>
        <v>45519</v>
      </c>
      <c r="E11" s="2">
        <f>E10+3</f>
        <v>45706</v>
      </c>
      <c r="F11" s="2">
        <f>F10</f>
        <v>45884</v>
      </c>
      <c r="G11" s="2">
        <f>G10+2</f>
        <v>46070</v>
      </c>
      <c r="H11" s="2">
        <f>H10+2</f>
        <v>46251</v>
      </c>
      <c r="I11" s="2">
        <f>I10+1</f>
        <v>46434</v>
      </c>
      <c r="J11" s="2">
        <f>J10+1</f>
        <v>46615</v>
      </c>
      <c r="K11" s="2">
        <f>K10</f>
        <v>46798</v>
      </c>
      <c r="L11" s="2">
        <f t="shared" ref="L11:N11" si="2">L10</f>
        <v>46980</v>
      </c>
      <c r="M11" s="2">
        <f t="shared" si="2"/>
        <v>47164</v>
      </c>
      <c r="N11" s="2">
        <f t="shared" si="2"/>
        <v>47345</v>
      </c>
      <c r="O11" s="2">
        <f>O10</f>
        <v>47529</v>
      </c>
      <c r="P11" s="2">
        <f t="shared" ref="P11" si="3">P10</f>
        <v>47710</v>
      </c>
      <c r="Q11" s="2">
        <f>Q10+3</f>
        <v>47897</v>
      </c>
      <c r="R11" s="2">
        <f>R10</f>
        <v>48075</v>
      </c>
      <c r="S11" s="2">
        <f>S10+2</f>
        <v>48261</v>
      </c>
      <c r="T11" s="2">
        <f>T10+1</f>
        <v>48442</v>
      </c>
      <c r="U11" s="2">
        <f>U10</f>
        <v>48625</v>
      </c>
      <c r="V11" s="2">
        <f t="shared" ref="V11:W11" si="4">V10</f>
        <v>48806</v>
      </c>
      <c r="W11" s="2">
        <f t="shared" si="4"/>
        <v>48990</v>
      </c>
    </row>
    <row r="12" spans="1:23" x14ac:dyDescent="0.2">
      <c r="A12" t="s">
        <v>16</v>
      </c>
      <c r="D12">
        <f t="shared" ref="D12:T12" si="5">50*$I$1</f>
        <v>2.3125</v>
      </c>
      <c r="E12">
        <f t="shared" si="5"/>
        <v>2.3125</v>
      </c>
      <c r="F12">
        <f t="shared" si="5"/>
        <v>2.3125</v>
      </c>
      <c r="G12">
        <f t="shared" si="5"/>
        <v>2.3125</v>
      </c>
      <c r="H12">
        <f t="shared" si="5"/>
        <v>2.3125</v>
      </c>
      <c r="I12">
        <f t="shared" si="5"/>
        <v>2.3125</v>
      </c>
      <c r="J12">
        <f t="shared" si="5"/>
        <v>2.3125</v>
      </c>
      <c r="K12">
        <f t="shared" si="5"/>
        <v>2.3125</v>
      </c>
      <c r="L12">
        <f t="shared" si="5"/>
        <v>2.3125</v>
      </c>
      <c r="M12">
        <f t="shared" si="5"/>
        <v>2.3125</v>
      </c>
      <c r="N12">
        <f t="shared" si="5"/>
        <v>2.3125</v>
      </c>
      <c r="O12">
        <f t="shared" si="5"/>
        <v>2.3125</v>
      </c>
      <c r="P12">
        <f t="shared" si="5"/>
        <v>2.3125</v>
      </c>
      <c r="Q12">
        <f t="shared" si="5"/>
        <v>2.3125</v>
      </c>
      <c r="R12">
        <f t="shared" si="5"/>
        <v>2.3125</v>
      </c>
      <c r="S12">
        <f t="shared" si="5"/>
        <v>2.3125</v>
      </c>
      <c r="T12">
        <f t="shared" si="5"/>
        <v>2.3125</v>
      </c>
      <c r="U12">
        <f t="shared" ref="U12:V12" si="6">50*$I$1</f>
        <v>2.3125</v>
      </c>
      <c r="V12">
        <f t="shared" si="6"/>
        <v>2.3125</v>
      </c>
      <c r="W12">
        <f>100*(1+$I$1/2)</f>
        <v>102.3125</v>
      </c>
    </row>
    <row r="14" spans="1:23" x14ac:dyDescent="0.2">
      <c r="A14" t="s">
        <v>17</v>
      </c>
      <c r="B14" s="1">
        <f>G1</f>
        <v>45425</v>
      </c>
      <c r="C14" s="1" t="s">
        <v>18</v>
      </c>
      <c r="D14">
        <f>(D11-$B14)/365.25</f>
        <v>0.25735797399041754</v>
      </c>
      <c r="E14">
        <f t="shared" ref="E14:W14" si="7">(E11-$B14)/365.25</f>
        <v>0.76933607118412051</v>
      </c>
      <c r="F14">
        <f t="shared" si="7"/>
        <v>1.2566735112936345</v>
      </c>
      <c r="G14">
        <f t="shared" si="7"/>
        <v>1.7659137577002053</v>
      </c>
      <c r="H14">
        <f t="shared" si="7"/>
        <v>2.2614647501711156</v>
      </c>
      <c r="I14">
        <f t="shared" si="7"/>
        <v>2.7624914442162902</v>
      </c>
      <c r="J14">
        <f t="shared" si="7"/>
        <v>3.2580424366872007</v>
      </c>
      <c r="K14">
        <f t="shared" si="7"/>
        <v>3.7590691307323749</v>
      </c>
      <c r="L14">
        <f t="shared" si="7"/>
        <v>4.2573579739904179</v>
      </c>
      <c r="M14">
        <f t="shared" si="7"/>
        <v>4.7611225188227237</v>
      </c>
      <c r="N14">
        <f t="shared" si="7"/>
        <v>5.2566735112936342</v>
      </c>
      <c r="O14">
        <f t="shared" si="7"/>
        <v>5.760438056125941</v>
      </c>
      <c r="P14">
        <f t="shared" si="7"/>
        <v>6.2559890485968515</v>
      </c>
      <c r="Q14">
        <f t="shared" si="7"/>
        <v>6.7679671457905544</v>
      </c>
      <c r="R14">
        <f t="shared" si="7"/>
        <v>7.2553045859000687</v>
      </c>
      <c r="S14">
        <f t="shared" si="7"/>
        <v>7.7645448323066395</v>
      </c>
      <c r="T14">
        <f t="shared" si="7"/>
        <v>8.2600958247775491</v>
      </c>
      <c r="U14">
        <f t="shared" si="7"/>
        <v>8.7611225188227237</v>
      </c>
      <c r="V14">
        <f t="shared" si="7"/>
        <v>9.2566735112936342</v>
      </c>
      <c r="W14">
        <f t="shared" si="7"/>
        <v>9.7604380561259418</v>
      </c>
    </row>
    <row r="15" spans="1:23" x14ac:dyDescent="0.2">
      <c r="A15" t="s">
        <v>19</v>
      </c>
      <c r="B15">
        <v>4.6469765164701367E-2</v>
      </c>
      <c r="D15">
        <f>EXP(-$B15*D14)</f>
        <v>0.98811186435256759</v>
      </c>
      <c r="E15">
        <f>EXP(-$B15*E14)</f>
        <v>0.96488064757604208</v>
      </c>
      <c r="F15">
        <f t="shared" ref="F15:W15" si="8">EXP(-$B15*F14)</f>
        <v>0.94327508812291683</v>
      </c>
      <c r="G15">
        <f t="shared" si="8"/>
        <v>0.92121521228272996</v>
      </c>
      <c r="H15">
        <f t="shared" si="8"/>
        <v>0.90024373480795272</v>
      </c>
      <c r="I15">
        <f t="shared" si="8"/>
        <v>0.87952584547430701</v>
      </c>
      <c r="J15">
        <f t="shared" si="8"/>
        <v>0.85950342703080007</v>
      </c>
      <c r="K15">
        <f t="shared" si="8"/>
        <v>0.83972312065975707</v>
      </c>
      <c r="L15">
        <f t="shared" si="8"/>
        <v>0.82050241488158515</v>
      </c>
      <c r="M15">
        <f t="shared" si="8"/>
        <v>0.80151768253736799</v>
      </c>
      <c r="N15">
        <f t="shared" si="8"/>
        <v>0.78327112103811081</v>
      </c>
      <c r="O15">
        <f t="shared" si="8"/>
        <v>0.76514784398717173</v>
      </c>
      <c r="P15">
        <f t="shared" si="8"/>
        <v>0.74772924238235305</v>
      </c>
      <c r="Q15">
        <f t="shared" si="8"/>
        <v>0.73014959300600113</v>
      </c>
      <c r="R15">
        <f t="shared" si="8"/>
        <v>0.71380011964782275</v>
      </c>
      <c r="S15">
        <f t="shared" si="8"/>
        <v>0.69710685358746682</v>
      </c>
      <c r="T15">
        <f t="shared" si="8"/>
        <v>0.68123720610162453</v>
      </c>
      <c r="U15">
        <f t="shared" si="8"/>
        <v>0.66555945517677484</v>
      </c>
      <c r="V15">
        <f t="shared" si="8"/>
        <v>0.65040798466666672</v>
      </c>
      <c r="W15">
        <f t="shared" si="8"/>
        <v>0.63535888635874715</v>
      </c>
    </row>
    <row r="16" spans="1:23" x14ac:dyDescent="0.2">
      <c r="A16" t="s">
        <v>20</v>
      </c>
      <c r="D16">
        <f>D12*D15</f>
        <v>2.2850086863153125</v>
      </c>
      <c r="E16">
        <f>E12*E15</f>
        <v>2.2312864975195974</v>
      </c>
      <c r="F16">
        <f t="shared" ref="F16:W16" si="9">F12*F15</f>
        <v>2.1813236412842452</v>
      </c>
      <c r="G16">
        <f t="shared" si="9"/>
        <v>2.1303101784038132</v>
      </c>
      <c r="H16">
        <f t="shared" si="9"/>
        <v>2.0818136367433908</v>
      </c>
      <c r="I16">
        <f t="shared" si="9"/>
        <v>2.033903517659335</v>
      </c>
      <c r="J16">
        <f t="shared" si="9"/>
        <v>1.9876016750087251</v>
      </c>
      <c r="K16">
        <f t="shared" si="9"/>
        <v>1.9418597165256881</v>
      </c>
      <c r="L16">
        <f t="shared" si="9"/>
        <v>1.8974118344136657</v>
      </c>
      <c r="M16">
        <f t="shared" si="9"/>
        <v>1.8535096408676635</v>
      </c>
      <c r="N16">
        <f t="shared" si="9"/>
        <v>1.8113144674006312</v>
      </c>
      <c r="O16">
        <f t="shared" si="9"/>
        <v>1.7694043892203346</v>
      </c>
      <c r="P16">
        <f t="shared" si="9"/>
        <v>1.7291238730091913</v>
      </c>
      <c r="Q16">
        <f t="shared" si="9"/>
        <v>1.6884709338263777</v>
      </c>
      <c r="R16">
        <f t="shared" si="9"/>
        <v>1.6506627766855901</v>
      </c>
      <c r="S16">
        <f t="shared" si="9"/>
        <v>1.6120595989210171</v>
      </c>
      <c r="T16">
        <f t="shared" si="9"/>
        <v>1.5753610391100068</v>
      </c>
      <c r="U16">
        <f t="shared" si="9"/>
        <v>1.5391062400962918</v>
      </c>
      <c r="V16">
        <f t="shared" si="9"/>
        <v>1.5040684645416669</v>
      </c>
      <c r="W16">
        <f t="shared" si="9"/>
        <v>65.005156060579324</v>
      </c>
    </row>
    <row r="17" spans="1:27" x14ac:dyDescent="0.2">
      <c r="B17">
        <f>SUM(D16:W16)</f>
        <v>100.50875686813187</v>
      </c>
    </row>
    <row r="18" spans="1:27" x14ac:dyDescent="0.2">
      <c r="A18" t="s">
        <v>21</v>
      </c>
      <c r="B18">
        <f>(B17-L8)^2</f>
        <v>0</v>
      </c>
    </row>
    <row r="20" spans="1:27" x14ac:dyDescent="0.2">
      <c r="A20" t="s">
        <v>22</v>
      </c>
      <c r="B20" t="s">
        <v>54</v>
      </c>
      <c r="C20">
        <v>-1E-4</v>
      </c>
    </row>
    <row r="21" spans="1:27" x14ac:dyDescent="0.2">
      <c r="A21" t="s">
        <v>25</v>
      </c>
      <c r="B21" t="s">
        <v>23</v>
      </c>
      <c r="C21" t="s">
        <v>24</v>
      </c>
      <c r="D21" t="s">
        <v>26</v>
      </c>
      <c r="Y21" t="s">
        <v>27</v>
      </c>
      <c r="AA21" t="s">
        <v>28</v>
      </c>
    </row>
    <row r="22" spans="1:27" x14ac:dyDescent="0.2">
      <c r="A22" s="1">
        <f>G1</f>
        <v>45425</v>
      </c>
      <c r="B22" s="1">
        <f>A23</f>
        <v>45426</v>
      </c>
      <c r="C22">
        <f>$B$15+(A22-$D$1)*$C$20</f>
        <v>4.6169765164701365E-2</v>
      </c>
      <c r="D22">
        <f>EXP(-$C22*(D$11-$B22)/365.25)*D$12</f>
        <v>2.2854739918899778</v>
      </c>
      <c r="E22">
        <f t="shared" ref="E22:W22" si="10">EXP(-$C22*(E$11-$B22)/365.25)*E$12</f>
        <v>2.2320836704853342</v>
      </c>
      <c r="F22">
        <f t="shared" si="10"/>
        <v>2.1824220134564984</v>
      </c>
      <c r="G22">
        <f t="shared" si="10"/>
        <v>2.1317085041808577</v>
      </c>
      <c r="H22">
        <f t="shared" si="10"/>
        <v>2.0834898492300611</v>
      </c>
      <c r="I22">
        <f t="shared" si="10"/>
        <v>2.0358471355193077</v>
      </c>
      <c r="J22">
        <f t="shared" si="10"/>
        <v>1.9897968381321913</v>
      </c>
      <c r="K22">
        <f t="shared" si="10"/>
        <v>1.9442965823297802</v>
      </c>
      <c r="L22">
        <f t="shared" si="10"/>
        <v>1.9000769368872703</v>
      </c>
      <c r="M22">
        <f t="shared" si="10"/>
        <v>1.856393612756845</v>
      </c>
      <c r="N22">
        <f t="shared" si="10"/>
        <v>1.8144025042676561</v>
      </c>
      <c r="O22">
        <f t="shared" si="10"/>
        <v>1.7726888603839392</v>
      </c>
      <c r="P22">
        <f t="shared" si="10"/>
        <v>1.7325911301706707</v>
      </c>
      <c r="Q22">
        <f t="shared" si="10"/>
        <v>1.6921165513170513</v>
      </c>
      <c r="R22">
        <f t="shared" si="10"/>
        <v>1.6544686293616653</v>
      </c>
      <c r="S22">
        <f t="shared" si="10"/>
        <v>1.6160233105076351</v>
      </c>
      <c r="T22">
        <f t="shared" si="10"/>
        <v>1.5794693115678247</v>
      </c>
      <c r="U22">
        <f t="shared" si="10"/>
        <v>1.5433519269528937</v>
      </c>
      <c r="V22">
        <f t="shared" si="10"/>
        <v>1.5084417345473964</v>
      </c>
      <c r="W22">
        <f t="shared" si="10"/>
        <v>65.204020301872291</v>
      </c>
      <c r="Y22">
        <f>SUM(D22:W22)</f>
        <v>100.75916339581715</v>
      </c>
    </row>
    <row r="23" spans="1:27" x14ac:dyDescent="0.2">
      <c r="A23" s="1">
        <f>B14+1</f>
        <v>45426</v>
      </c>
      <c r="B23" s="1">
        <f>A23+1</f>
        <v>45427</v>
      </c>
      <c r="C23">
        <f t="shared" ref="C23:C35" si="11">$B$15+(A23-$D$1)*$C$20</f>
        <v>4.6069765164701369E-2</v>
      </c>
      <c r="D23">
        <f>EXP(-$C23*(D$11-$B23)/365.25)*D$12</f>
        <v>2.2858204826511952</v>
      </c>
      <c r="E23">
        <f t="shared" ref="E23:W35" si="12">EXP(-$C23*(E$11-$B23)/365.25)*E$12</f>
        <v>2.2325363650184569</v>
      </c>
      <c r="F23">
        <f t="shared" si="12"/>
        <v>2.1829710177419379</v>
      </c>
      <c r="G23">
        <f t="shared" si="12"/>
        <v>2.1323533363596137</v>
      </c>
      <c r="H23">
        <f t="shared" si="12"/>
        <v>2.0842233768210456</v>
      </c>
      <c r="I23">
        <f t="shared" si="12"/>
        <v>2.0366659295363307</v>
      </c>
      <c r="J23">
        <f t="shared" si="12"/>
        <v>1.990695757937325</v>
      </c>
      <c r="K23">
        <f t="shared" si="12"/>
        <v>1.9452724076281043</v>
      </c>
      <c r="L23">
        <f t="shared" si="12"/>
        <v>1.9011252973281376</v>
      </c>
      <c r="M23">
        <f t="shared" si="12"/>
        <v>1.8575114435685081</v>
      </c>
      <c r="N23">
        <f>EXP(-$C23*(N$11-$B23)/365.25)*N$12</f>
        <v>1.8155850193230743</v>
      </c>
      <c r="O23">
        <f t="shared" si="12"/>
        <v>1.7739335513045178</v>
      </c>
      <c r="P23">
        <f t="shared" si="12"/>
        <v>1.7338935876678365</v>
      </c>
      <c r="Q23">
        <f t="shared" si="12"/>
        <v>1.6934752824732016</v>
      </c>
      <c r="R23">
        <f t="shared" si="12"/>
        <v>1.6558778252513608</v>
      </c>
      <c r="S23">
        <f t="shared" si="12"/>
        <v>1.617482127147531</v>
      </c>
      <c r="T23">
        <f t="shared" si="12"/>
        <v>1.5809734735362713</v>
      </c>
      <c r="U23">
        <f t="shared" si="12"/>
        <v>1.5448990952031232</v>
      </c>
      <c r="V23">
        <f t="shared" si="12"/>
        <v>1.5100287340507643</v>
      </c>
      <c r="W23">
        <f t="shared" si="12"/>
        <v>65.275908352427649</v>
      </c>
      <c r="Y23">
        <f>SUM(D23:W23)</f>
        <v>100.85123246297599</v>
      </c>
    </row>
    <row r="24" spans="1:27" x14ac:dyDescent="0.2">
      <c r="A24" s="1">
        <f>A23+1</f>
        <v>45427</v>
      </c>
      <c r="B24" s="1">
        <f t="shared" ref="B24:B25" si="13">A24+1</f>
        <v>45428</v>
      </c>
      <c r="C24">
        <f t="shared" si="11"/>
        <v>4.5969765164701366E-2</v>
      </c>
      <c r="D24">
        <f t="shared" ref="D24:S35" si="14">EXP(-$C24*(D$11-$B24)/365.25)*D$12</f>
        <v>2.2861657741058732</v>
      </c>
      <c r="E24">
        <f t="shared" si="14"/>
        <v>2.2329879286458159</v>
      </c>
      <c r="F24">
        <f t="shared" si="14"/>
        <v>2.1835189645032869</v>
      </c>
      <c r="G24">
        <f t="shared" si="14"/>
        <v>2.132997195631257</v>
      </c>
      <c r="H24">
        <f t="shared" si="14"/>
        <v>2.084956021002728</v>
      </c>
      <c r="I24">
        <f t="shared" si="14"/>
        <v>2.0374839371970701</v>
      </c>
      <c r="J24">
        <f t="shared" si="14"/>
        <v>1.9915939933048847</v>
      </c>
      <c r="K24">
        <f t="shared" si="14"/>
        <v>1.946247656977107</v>
      </c>
      <c r="L24">
        <f t="shared" si="14"/>
        <v>1.9021731946244502</v>
      </c>
      <c r="M24">
        <f t="shared" si="14"/>
        <v>1.8586289297540259</v>
      </c>
      <c r="N24">
        <f t="shared" si="14"/>
        <v>1.8167673102606523</v>
      </c>
      <c r="O24">
        <f t="shared" si="14"/>
        <v>1.7751781441481851</v>
      </c>
      <c r="P24">
        <f t="shared" si="14"/>
        <v>1.7351960741321335</v>
      </c>
      <c r="Q24">
        <f t="shared" si="14"/>
        <v>1.6948341766187369</v>
      </c>
      <c r="R24">
        <f t="shared" si="14"/>
        <v>1.657287313944235</v>
      </c>
      <c r="S24">
        <f t="shared" si="14"/>
        <v>1.6189413742062284</v>
      </c>
      <c r="T24">
        <f t="shared" si="12"/>
        <v>1.5824782014318384</v>
      </c>
      <c r="U24">
        <f t="shared" si="12"/>
        <v>1.5464469676589216</v>
      </c>
      <c r="V24">
        <f t="shared" si="12"/>
        <v>1.5116165754862427</v>
      </c>
      <c r="W24">
        <f t="shared" si="12"/>
        <v>65.347839877703521</v>
      </c>
      <c r="Y24">
        <f t="shared" ref="Y24:Y35" si="15">SUM(D24:W24)</f>
        <v>100.94333961133719</v>
      </c>
    </row>
    <row r="25" spans="1:27" x14ac:dyDescent="0.2">
      <c r="A25" s="1">
        <f t="shared" ref="A25:A26" si="16">A24+1</f>
        <v>45428</v>
      </c>
      <c r="B25" s="1">
        <f t="shared" si="13"/>
        <v>45429</v>
      </c>
      <c r="C25">
        <f t="shared" si="11"/>
        <v>4.5869765164701364E-2</v>
      </c>
      <c r="D25">
        <f t="shared" si="14"/>
        <v>2.2865098656946747</v>
      </c>
      <c r="E25">
        <f t="shared" si="12"/>
        <v>2.2334383606440937</v>
      </c>
      <c r="F25">
        <f t="shared" si="12"/>
        <v>2.1840658528749426</v>
      </c>
      <c r="G25">
        <f t="shared" si="12"/>
        <v>2.1336400809967975</v>
      </c>
      <c r="H25">
        <f t="shared" si="12"/>
        <v>2.0856877806620844</v>
      </c>
      <c r="I25">
        <f t="shared" si="12"/>
        <v>2.0383011572896792</v>
      </c>
      <c r="J25">
        <f t="shared" si="12"/>
        <v>1.992491542942125</v>
      </c>
      <c r="K25">
        <f t="shared" si="12"/>
        <v>1.9472223290197379</v>
      </c>
      <c r="L25">
        <f t="shared" si="12"/>
        <v>1.903220627373013</v>
      </c>
      <c r="M25">
        <f t="shared" si="12"/>
        <v>1.8597460698818984</v>
      </c>
      <c r="N25">
        <f t="shared" si="12"/>
        <v>1.8179493756392517</v>
      </c>
      <c r="O25">
        <f t="shared" si="12"/>
        <v>1.7764226374826486</v>
      </c>
      <c r="P25">
        <f t="shared" si="12"/>
        <v>1.7364985881583808</v>
      </c>
      <c r="Q25">
        <f t="shared" si="12"/>
        <v>1.696193232395669</v>
      </c>
      <c r="R25">
        <f t="shared" si="12"/>
        <v>1.6586970941452781</v>
      </c>
      <c r="S25">
        <f t="shared" si="12"/>
        <v>1.6204010504732373</v>
      </c>
      <c r="T25">
        <f t="shared" si="12"/>
        <v>1.5839834941444886</v>
      </c>
      <c r="U25">
        <f t="shared" si="12"/>
        <v>1.5479955433298636</v>
      </c>
      <c r="V25">
        <f t="shared" si="12"/>
        <v>1.5132052579993258</v>
      </c>
      <c r="W25">
        <f t="shared" si="12"/>
        <v>65.419814846788881</v>
      </c>
      <c r="Y25">
        <f t="shared" si="15"/>
        <v>101.03548478793607</v>
      </c>
    </row>
    <row r="26" spans="1:27" x14ac:dyDescent="0.2">
      <c r="A26" s="1">
        <f t="shared" si="16"/>
        <v>45429</v>
      </c>
      <c r="B26" s="1">
        <f>A26+3</f>
        <v>45432</v>
      </c>
      <c r="C26">
        <f t="shared" si="11"/>
        <v>4.5769765164701368E-2</v>
      </c>
      <c r="D26">
        <f t="shared" si="14"/>
        <v>2.2874259633262026</v>
      </c>
      <c r="E26">
        <f t="shared" si="12"/>
        <v>2.2344475908982662</v>
      </c>
      <c r="F26">
        <f t="shared" si="12"/>
        <v>2.1851592614284363</v>
      </c>
      <c r="G26">
        <f t="shared" si="12"/>
        <v>2.1348169556070711</v>
      </c>
      <c r="H26">
        <f t="shared" si="12"/>
        <v>2.0869416217475227</v>
      </c>
      <c r="I26">
        <f t="shared" si="12"/>
        <v>2.0396286995101609</v>
      </c>
      <c r="J26">
        <f t="shared" si="12"/>
        <v>1.9938880543077262</v>
      </c>
      <c r="K26">
        <f t="shared" si="12"/>
        <v>1.9486847436446937</v>
      </c>
      <c r="L26">
        <f t="shared" si="12"/>
        <v>1.9047449045242477</v>
      </c>
      <c r="M26">
        <f t="shared" si="12"/>
        <v>1.8613292933484784</v>
      </c>
      <c r="N26">
        <f t="shared" si="12"/>
        <v>1.8195871846831129</v>
      </c>
      <c r="O26">
        <f t="shared" si="12"/>
        <v>1.7781126074192635</v>
      </c>
      <c r="P26">
        <f t="shared" si="12"/>
        <v>1.7382367133776306</v>
      </c>
      <c r="Q26">
        <f t="shared" si="12"/>
        <v>1.6979779450302945</v>
      </c>
      <c r="R26">
        <f t="shared" si="12"/>
        <v>1.6605232753714221</v>
      </c>
      <c r="S26">
        <f t="shared" si="12"/>
        <v>1.6222676790733299</v>
      </c>
      <c r="T26">
        <f t="shared" si="12"/>
        <v>1.58588675819803</v>
      </c>
      <c r="U26">
        <f t="shared" si="12"/>
        <v>1.5499332192556918</v>
      </c>
      <c r="V26">
        <f t="shared" si="12"/>
        <v>1.5151744685642214</v>
      </c>
      <c r="W26">
        <f t="shared" si="12"/>
        <v>65.508248952052796</v>
      </c>
      <c r="Y26">
        <f t="shared" si="15"/>
        <v>101.1530158913686</v>
      </c>
    </row>
    <row r="27" spans="1:27" x14ac:dyDescent="0.2">
      <c r="A27" s="1">
        <v>45432</v>
      </c>
      <c r="B27" s="1">
        <f>A27+1</f>
        <v>45433</v>
      </c>
      <c r="C27">
        <f t="shared" si="11"/>
        <v>4.5469765164701366E-2</v>
      </c>
      <c r="D27">
        <f t="shared" si="14"/>
        <v>2.2878742222704784</v>
      </c>
      <c r="E27">
        <f t="shared" si="12"/>
        <v>2.2352287579400301</v>
      </c>
      <c r="F27">
        <f t="shared" si="12"/>
        <v>2.1862428052058975</v>
      </c>
      <c r="G27">
        <f t="shared" si="12"/>
        <v>2.1362018634636493</v>
      </c>
      <c r="H27">
        <f t="shared" si="12"/>
        <v>2.0886059518530034</v>
      </c>
      <c r="I27">
        <f t="shared" si="12"/>
        <v>2.0415621377702413</v>
      </c>
      <c r="J27">
        <f t="shared" si="12"/>
        <v>1.9960748583520864</v>
      </c>
      <c r="K27">
        <f t="shared" si="12"/>
        <v>1.9511152169949979</v>
      </c>
      <c r="L27">
        <f t="shared" si="12"/>
        <v>1.9074056848255876</v>
      </c>
      <c r="M27">
        <f t="shared" si="12"/>
        <v>1.8642111411767612</v>
      </c>
      <c r="N27">
        <f t="shared" si="12"/>
        <v>1.82267535272128</v>
      </c>
      <c r="O27">
        <f t="shared" si="12"/>
        <v>1.7813995870532344</v>
      </c>
      <c r="P27">
        <f t="shared" si="12"/>
        <v>1.7417088917407828</v>
      </c>
      <c r="Q27">
        <f t="shared" si="12"/>
        <v>1.701631044610197</v>
      </c>
      <c r="R27">
        <f t="shared" si="12"/>
        <v>1.6643391040756508</v>
      </c>
      <c r="S27">
        <f t="shared" si="12"/>
        <v>1.6262440233517363</v>
      </c>
      <c r="T27">
        <f t="shared" si="12"/>
        <v>1.5900102908957179</v>
      </c>
      <c r="U27">
        <f t="shared" si="12"/>
        <v>1.5541968582813876</v>
      </c>
      <c r="V27">
        <f t="shared" si="12"/>
        <v>1.5195683816577579</v>
      </c>
      <c r="W27">
        <f t="shared" si="12"/>
        <v>65.708148539312248</v>
      </c>
      <c r="Y27">
        <f t="shared" si="15"/>
        <v>101.40444471355272</v>
      </c>
    </row>
    <row r="28" spans="1:27" x14ac:dyDescent="0.2">
      <c r="A28" s="1">
        <v>45433</v>
      </c>
      <c r="B28" s="1">
        <f t="shared" ref="B28:B30" si="17">A28+1</f>
        <v>45434</v>
      </c>
      <c r="C28">
        <f t="shared" si="11"/>
        <v>4.536976516470137E-2</v>
      </c>
      <c r="D28">
        <f t="shared" si="14"/>
        <v>2.2882123062059549</v>
      </c>
      <c r="E28">
        <f t="shared" si="12"/>
        <v>2.2356735210031555</v>
      </c>
      <c r="F28">
        <f t="shared" si="12"/>
        <v>2.1867843886983938</v>
      </c>
      <c r="G28">
        <f t="shared" si="12"/>
        <v>2.1368398643593776</v>
      </c>
      <c r="H28">
        <f t="shared" si="12"/>
        <v>2.0893332722426452</v>
      </c>
      <c r="I28">
        <f t="shared" si="12"/>
        <v>2.0423754018728917</v>
      </c>
      <c r="J28">
        <f t="shared" si="12"/>
        <v>1.9969689599656919</v>
      </c>
      <c r="K28">
        <f t="shared" si="12"/>
        <v>1.9520869821595201</v>
      </c>
      <c r="L28">
        <f t="shared" si="12"/>
        <v>1.9084507737872414</v>
      </c>
      <c r="M28">
        <f t="shared" si="12"/>
        <v>1.865326529533778</v>
      </c>
      <c r="N28">
        <f t="shared" si="12"/>
        <v>1.8238562686681385</v>
      </c>
      <c r="O28">
        <f t="shared" si="12"/>
        <v>1.7826435613279474</v>
      </c>
      <c r="P28">
        <f t="shared" si="12"/>
        <v>1.7430115224606293</v>
      </c>
      <c r="Q28">
        <f t="shared" si="12"/>
        <v>1.7029908881269193</v>
      </c>
      <c r="R28">
        <f t="shared" si="12"/>
        <v>1.6657503223371155</v>
      </c>
      <c r="S28">
        <f t="shared" si="12"/>
        <v>1.6277058274401084</v>
      </c>
      <c r="T28">
        <f t="shared" si="12"/>
        <v>1.5915183909737787</v>
      </c>
      <c r="U28">
        <f t="shared" si="12"/>
        <v>1.5557489350964944</v>
      </c>
      <c r="V28">
        <f t="shared" si="12"/>
        <v>1.521161256661439</v>
      </c>
      <c r="W28">
        <f t="shared" si="12"/>
        <v>65.780340260086703</v>
      </c>
      <c r="Y28">
        <f t="shared" si="15"/>
        <v>101.49677923300793</v>
      </c>
    </row>
    <row r="29" spans="1:27" x14ac:dyDescent="0.2">
      <c r="A29" s="1">
        <v>45434</v>
      </c>
      <c r="B29" s="1">
        <f t="shared" si="17"/>
        <v>45435</v>
      </c>
      <c r="C29">
        <f t="shared" si="11"/>
        <v>4.5269765164701367E-2</v>
      </c>
      <c r="D29">
        <f t="shared" si="14"/>
        <v>2.2885491869592172</v>
      </c>
      <c r="E29">
        <f t="shared" si="12"/>
        <v>2.2361171481333333</v>
      </c>
      <c r="F29">
        <f t="shared" si="12"/>
        <v>2.1873249086396203</v>
      </c>
      <c r="G29">
        <f t="shared" si="12"/>
        <v>2.1374768853824282</v>
      </c>
      <c r="H29">
        <f t="shared" si="12"/>
        <v>2.0900597014542228</v>
      </c>
      <c r="I29">
        <f t="shared" si="12"/>
        <v>2.0431878711534042</v>
      </c>
      <c r="J29">
        <f t="shared" si="12"/>
        <v>1.9978623681040339</v>
      </c>
      <c r="K29">
        <f t="shared" si="12"/>
        <v>1.9530581618811165</v>
      </c>
      <c r="L29">
        <f t="shared" si="12"/>
        <v>1.9094953897818783</v>
      </c>
      <c r="M29">
        <f t="shared" si="12"/>
        <v>1.8664415632381155</v>
      </c>
      <c r="N29">
        <f t="shared" si="12"/>
        <v>1.8250369503973665</v>
      </c>
      <c r="O29">
        <f t="shared" si="12"/>
        <v>1.783887427482131</v>
      </c>
      <c r="P29">
        <f t="shared" si="12"/>
        <v>1.7443141722883095</v>
      </c>
      <c r="Q29">
        <f t="shared" si="12"/>
        <v>1.704350885098717</v>
      </c>
      <c r="R29">
        <f t="shared" si="12"/>
        <v>1.667161824303544</v>
      </c>
      <c r="S29">
        <f t="shared" si="12"/>
        <v>1.6291680534361554</v>
      </c>
      <c r="T29">
        <f t="shared" si="12"/>
        <v>1.5930270491670417</v>
      </c>
      <c r="U29">
        <f t="shared" si="12"/>
        <v>1.5573017091390899</v>
      </c>
      <c r="V29">
        <f t="shared" si="12"/>
        <v>1.5227549675677789</v>
      </c>
      <c r="W29">
        <f t="shared" si="12"/>
        <v>65.852575236988102</v>
      </c>
      <c r="Y29">
        <f t="shared" si="15"/>
        <v>101.58915146059562</v>
      </c>
    </row>
    <row r="30" spans="1:27" x14ac:dyDescent="0.2">
      <c r="A30" s="1">
        <v>45435</v>
      </c>
      <c r="B30" s="1">
        <f t="shared" si="17"/>
        <v>45436</v>
      </c>
      <c r="C30">
        <f t="shared" si="11"/>
        <v>4.5169765164701364E-2</v>
      </c>
      <c r="D30">
        <f t="shared" si="14"/>
        <v>2.2888848639841677</v>
      </c>
      <c r="E30">
        <f t="shared" si="12"/>
        <v>2.2365596386192768</v>
      </c>
      <c r="F30">
        <f t="shared" si="12"/>
        <v>2.1878643641746733</v>
      </c>
      <c r="G30">
        <f t="shared" si="12"/>
        <v>2.1381129255429574</v>
      </c>
      <c r="H30">
        <f t="shared" si="12"/>
        <v>2.0907852383822072</v>
      </c>
      <c r="I30">
        <f t="shared" si="12"/>
        <v>2.0439995444056489</v>
      </c>
      <c r="J30">
        <f t="shared" si="12"/>
        <v>1.998755081478238</v>
      </c>
      <c r="K30">
        <f t="shared" si="12"/>
        <v>1.9540287548046813</v>
      </c>
      <c r="L30">
        <f t="shared" si="12"/>
        <v>1.9105395314062992</v>
      </c>
      <c r="M30">
        <f t="shared" si="12"/>
        <v>1.8675562408562898</v>
      </c>
      <c r="N30">
        <f t="shared" si="12"/>
        <v>1.8262173964639115</v>
      </c>
      <c r="O30">
        <f t="shared" si="12"/>
        <v>1.7851311840776596</v>
      </c>
      <c r="P30">
        <f t="shared" si="12"/>
        <v>1.7456168398109868</v>
      </c>
      <c r="Q30">
        <f t="shared" si="12"/>
        <v>1.7057110341581561</v>
      </c>
      <c r="R30">
        <f t="shared" si="12"/>
        <v>1.6685736086688916</v>
      </c>
      <c r="S30">
        <f t="shared" si="12"/>
        <v>1.6306307001168312</v>
      </c>
      <c r="T30">
        <f t="shared" si="12"/>
        <v>1.5945362643515892</v>
      </c>
      <c r="U30">
        <f t="shared" si="12"/>
        <v>1.558855179403714</v>
      </c>
      <c r="V30">
        <f t="shared" si="12"/>
        <v>1.5243495135062972</v>
      </c>
      <c r="W30">
        <f t="shared" si="12"/>
        <v>65.924853438366185</v>
      </c>
      <c r="Y30">
        <f t="shared" si="15"/>
        <v>101.68156134257865</v>
      </c>
    </row>
    <row r="31" spans="1:27" x14ac:dyDescent="0.2">
      <c r="A31" s="1">
        <v>45436</v>
      </c>
      <c r="B31" s="1">
        <f>A32</f>
        <v>45440</v>
      </c>
      <c r="C31">
        <f t="shared" si="11"/>
        <v>4.5069765164701368E-2</v>
      </c>
      <c r="D31">
        <f t="shared" si="14"/>
        <v>2.290066923406052</v>
      </c>
      <c r="E31">
        <f t="shared" si="12"/>
        <v>2.2378292445054173</v>
      </c>
      <c r="F31">
        <f t="shared" si="12"/>
        <v>2.1892130136386743</v>
      </c>
      <c r="G31">
        <f t="shared" si="12"/>
        <v>2.1395398582924798</v>
      </c>
      <c r="H31">
        <f t="shared" si="12"/>
        <v>2.0922842663887162</v>
      </c>
      <c r="I31">
        <f t="shared" si="12"/>
        <v>2.045567514349786</v>
      </c>
      <c r="J31">
        <f t="shared" si="12"/>
        <v>2.0003874709422953</v>
      </c>
      <c r="K31">
        <f t="shared" si="12"/>
        <v>1.9557226006074957</v>
      </c>
      <c r="L31">
        <f t="shared" si="12"/>
        <v>1.9122909636165857</v>
      </c>
      <c r="M31">
        <f t="shared" si="12"/>
        <v>1.8693624388500507</v>
      </c>
      <c r="N31">
        <f t="shared" si="12"/>
        <v>1.8280742019480176</v>
      </c>
      <c r="O31">
        <f t="shared" si="12"/>
        <v>1.7870362374611846</v>
      </c>
      <c r="P31">
        <f t="shared" si="12"/>
        <v>1.7475663230179459</v>
      </c>
      <c r="Q31">
        <f t="shared" si="12"/>
        <v>1.7077033794915621</v>
      </c>
      <c r="R31">
        <f t="shared" si="12"/>
        <v>1.6706039886630955</v>
      </c>
      <c r="S31">
        <f t="shared" si="12"/>
        <v>1.6326980512628302</v>
      </c>
      <c r="T31">
        <f t="shared" si="12"/>
        <v>1.5966369736841579</v>
      </c>
      <c r="U31">
        <f t="shared" si="12"/>
        <v>1.56098708863076</v>
      </c>
      <c r="V31">
        <f t="shared" si="12"/>
        <v>1.5265098768408145</v>
      </c>
      <c r="W31">
        <f t="shared" si="12"/>
        <v>66.021610378990019</v>
      </c>
      <c r="Y31">
        <f t="shared" si="15"/>
        <v>101.81169079458795</v>
      </c>
    </row>
    <row r="32" spans="1:27" x14ac:dyDescent="0.2">
      <c r="A32" s="1">
        <v>45440</v>
      </c>
      <c r="B32" s="1">
        <f t="shared" ref="B32:B34" si="18">A33</f>
        <v>45441</v>
      </c>
      <c r="C32">
        <f t="shared" si="11"/>
        <v>4.4669765164701364E-2</v>
      </c>
      <c r="D32">
        <f t="shared" si="14"/>
        <v>2.2905451742037601</v>
      </c>
      <c r="E32">
        <f t="shared" si="12"/>
        <v>2.2387550166114076</v>
      </c>
      <c r="F32">
        <f t="shared" si="12"/>
        <v>2.1905456459435357</v>
      </c>
      <c r="G32">
        <f t="shared" si="12"/>
        <v>2.1412783788555281</v>
      </c>
      <c r="H32">
        <f t="shared" si="12"/>
        <v>2.0943995001506099</v>
      </c>
      <c r="I32">
        <f t="shared" si="12"/>
        <v>2.0480459280864736</v>
      </c>
      <c r="J32">
        <f t="shared" si="12"/>
        <v>2.0032081818163303</v>
      </c>
      <c r="K32">
        <f t="shared" si="12"/>
        <v>1.9588728700438567</v>
      </c>
      <c r="L32">
        <f t="shared" si="12"/>
        <v>1.9157530748642093</v>
      </c>
      <c r="M32">
        <f t="shared" si="12"/>
        <v>1.8731242374639765</v>
      </c>
      <c r="N32">
        <f t="shared" si="12"/>
        <v>1.8321160412413777</v>
      </c>
      <c r="O32">
        <f t="shared" si="12"/>
        <v>1.7913482732836135</v>
      </c>
      <c r="P32">
        <f t="shared" si="12"/>
        <v>1.7521303933242542</v>
      </c>
      <c r="Q32">
        <f t="shared" si="12"/>
        <v>1.712514012815995</v>
      </c>
      <c r="R32">
        <f t="shared" si="12"/>
        <v>1.6756367206579932</v>
      </c>
      <c r="S32">
        <f t="shared" si="12"/>
        <v>1.637950200857776</v>
      </c>
      <c r="T32">
        <f t="shared" si="12"/>
        <v>1.6020906556678842</v>
      </c>
      <c r="U32">
        <f t="shared" si="12"/>
        <v>1.5666329387158697</v>
      </c>
      <c r="V32">
        <f t="shared" si="12"/>
        <v>1.5323347380548031</v>
      </c>
      <c r="W32">
        <f t="shared" si="12"/>
        <v>66.286891697240108</v>
      </c>
      <c r="Y32">
        <f t="shared" si="15"/>
        <v>102.14417367989935</v>
      </c>
    </row>
    <row r="33" spans="1:29" x14ac:dyDescent="0.2">
      <c r="A33" s="1">
        <f>A32+1</f>
        <v>45441</v>
      </c>
      <c r="B33" s="1">
        <f t="shared" si="18"/>
        <v>45442</v>
      </c>
      <c r="C33">
        <f t="shared" si="11"/>
        <v>4.4569765164701368E-2</v>
      </c>
      <c r="D33">
        <f t="shared" si="14"/>
        <v>2.290873617497164</v>
      </c>
      <c r="E33">
        <f t="shared" si="12"/>
        <v>2.2391906723917412</v>
      </c>
      <c r="F33">
        <f t="shared" si="12"/>
        <v>2.191078697174873</v>
      </c>
      <c r="G33">
        <f t="shared" si="12"/>
        <v>2.1419085131281044</v>
      </c>
      <c r="H33">
        <f t="shared" si="12"/>
        <v>2.095119660221711</v>
      </c>
      <c r="I33">
        <f t="shared" si="12"/>
        <v>2.0488527998869888</v>
      </c>
      <c r="J33">
        <f t="shared" si="12"/>
        <v>2.0040966995712179</v>
      </c>
      <c r="K33">
        <f t="shared" si="12"/>
        <v>1.9598399137385043</v>
      </c>
      <c r="L33">
        <f t="shared" si="12"/>
        <v>1.9167943408010388</v>
      </c>
      <c r="M33">
        <f t="shared" si="12"/>
        <v>1.8742367484470372</v>
      </c>
      <c r="N33">
        <f t="shared" si="12"/>
        <v>1.8332950429552488</v>
      </c>
      <c r="O33">
        <f t="shared" si="12"/>
        <v>1.7925913422806654</v>
      </c>
      <c r="P33">
        <f t="shared" si="12"/>
        <v>1.7534331372867682</v>
      </c>
      <c r="Q33">
        <f t="shared" si="12"/>
        <v>1.7138750456101837</v>
      </c>
      <c r="R33">
        <f t="shared" si="12"/>
        <v>1.6770501719020727</v>
      </c>
      <c r="S33">
        <f t="shared" si="12"/>
        <v>1.6394153458620895</v>
      </c>
      <c r="T33">
        <f t="shared" si="12"/>
        <v>1.6036031890870077</v>
      </c>
      <c r="U33">
        <f t="shared" si="12"/>
        <v>1.568190565077765</v>
      </c>
      <c r="V33">
        <f t="shared" si="12"/>
        <v>1.5339342757783401</v>
      </c>
      <c r="W33">
        <f t="shared" si="12"/>
        <v>66.35942857489546</v>
      </c>
      <c r="Y33">
        <f t="shared" si="15"/>
        <v>102.236808353594</v>
      </c>
    </row>
    <row r="34" spans="1:29" x14ac:dyDescent="0.2">
      <c r="A34" s="1">
        <f t="shared" ref="A34:A35" si="19">A33+1</f>
        <v>45442</v>
      </c>
      <c r="B34" s="1">
        <f t="shared" si="18"/>
        <v>45443</v>
      </c>
      <c r="C34">
        <f t="shared" si="11"/>
        <v>4.4469765164701365E-2</v>
      </c>
      <c r="D34">
        <f t="shared" si="14"/>
        <v>2.2912008532927857</v>
      </c>
      <c r="E34">
        <f t="shared" si="12"/>
        <v>2.2396251865972809</v>
      </c>
      <c r="F34">
        <f t="shared" si="12"/>
        <v>2.1916106780589022</v>
      </c>
      <c r="G34">
        <f t="shared" si="12"/>
        <v>2.1425376596462575</v>
      </c>
      <c r="H34">
        <f t="shared" si="12"/>
        <v>2.0958389203009675</v>
      </c>
      <c r="I34">
        <f t="shared" si="12"/>
        <v>2.0496588672396907</v>
      </c>
      <c r="J34">
        <f t="shared" si="12"/>
        <v>2.0049845135558479</v>
      </c>
      <c r="K34">
        <f t="shared" si="12"/>
        <v>1.96080636115769</v>
      </c>
      <c r="L34">
        <f t="shared" si="12"/>
        <v>1.9178351225457644</v>
      </c>
      <c r="M34">
        <f t="shared" si="12"/>
        <v>1.875348893302121</v>
      </c>
      <c r="N34">
        <f t="shared" si="12"/>
        <v>1.834473798875891</v>
      </c>
      <c r="O34">
        <f t="shared" si="12"/>
        <v>1.7938342916292829</v>
      </c>
      <c r="P34">
        <f t="shared" si="12"/>
        <v>1.7547358890241822</v>
      </c>
      <c r="Q34">
        <f t="shared" si="12"/>
        <v>1.7152362208825227</v>
      </c>
      <c r="R34">
        <f t="shared" si="12"/>
        <v>1.6784638963588705</v>
      </c>
      <c r="S34">
        <f t="shared" si="12"/>
        <v>1.6408809029396514</v>
      </c>
      <c r="T34">
        <f t="shared" si="12"/>
        <v>1.6051162715745741</v>
      </c>
      <c r="U34">
        <f t="shared" si="12"/>
        <v>1.5697488805633473</v>
      </c>
      <c r="V34">
        <f t="shared" si="12"/>
        <v>1.5355346423767045</v>
      </c>
      <c r="W34">
        <f t="shared" si="12"/>
        <v>66.432008452510971</v>
      </c>
      <c r="Y34">
        <f t="shared" si="15"/>
        <v>102.32948030243331</v>
      </c>
    </row>
    <row r="35" spans="1:29" x14ac:dyDescent="0.2">
      <c r="A35" s="1">
        <f t="shared" si="19"/>
        <v>45443</v>
      </c>
      <c r="B35" s="1">
        <f>A35+3</f>
        <v>45446</v>
      </c>
      <c r="C35">
        <f t="shared" si="11"/>
        <v>4.4369765164701369E-2</v>
      </c>
      <c r="D35">
        <f t="shared" si="14"/>
        <v>2.2920836879688626</v>
      </c>
      <c r="E35">
        <f t="shared" si="12"/>
        <v>2.2406028594037548</v>
      </c>
      <c r="F35">
        <f t="shared" si="12"/>
        <v>2.1926742455158656</v>
      </c>
      <c r="G35">
        <f t="shared" si="12"/>
        <v>2.1436865748106353</v>
      </c>
      <c r="H35">
        <f t="shared" si="12"/>
        <v>2.0970667114907475</v>
      </c>
      <c r="I35">
        <f t="shared" si="12"/>
        <v>2.0509623611951606</v>
      </c>
      <c r="J35">
        <f t="shared" si="12"/>
        <v>2.0063590194209091</v>
      </c>
      <c r="K35">
        <f t="shared" si="12"/>
        <v>1.9622488923833512</v>
      </c>
      <c r="L35">
        <f t="shared" si="12"/>
        <v>1.919341676848257</v>
      </c>
      <c r="M35">
        <f t="shared" si="12"/>
        <v>1.8769166225943525</v>
      </c>
      <c r="N35">
        <f t="shared" si="12"/>
        <v>1.8360983437300997</v>
      </c>
      <c r="O35">
        <f t="shared" si="12"/>
        <v>1.7955132968945793</v>
      </c>
      <c r="P35">
        <f t="shared" si="12"/>
        <v>1.7564653383572348</v>
      </c>
      <c r="Q35">
        <f t="shared" si="12"/>
        <v>1.7170146448947059</v>
      </c>
      <c r="R35">
        <f t="shared" si="12"/>
        <v>1.6802860780227931</v>
      </c>
      <c r="S35">
        <f t="shared" si="12"/>
        <v>1.6427459366866606</v>
      </c>
      <c r="T35">
        <f t="shared" si="12"/>
        <v>1.6070202891327969</v>
      </c>
      <c r="U35">
        <f t="shared" si="12"/>
        <v>1.5716896885675797</v>
      </c>
      <c r="V35">
        <f t="shared" si="12"/>
        <v>1.5375093380801161</v>
      </c>
      <c r="W35">
        <f t="shared" si="12"/>
        <v>66.520790932677784</v>
      </c>
      <c r="Y35">
        <f t="shared" si="15"/>
        <v>102.44707653867624</v>
      </c>
      <c r="AA35">
        <f>(Y35-102)*32</f>
        <v>14.306449237639754</v>
      </c>
      <c r="AB35" t="s">
        <v>29</v>
      </c>
      <c r="AC35">
        <f>102+14.5/32</f>
        <v>102.453125</v>
      </c>
    </row>
    <row r="36" spans="1:29" x14ac:dyDescent="0.2">
      <c r="AA36" t="s">
        <v>30</v>
      </c>
    </row>
    <row r="37" spans="1:29" x14ac:dyDescent="0.2">
      <c r="AA37" t="s">
        <v>31</v>
      </c>
      <c r="AC37">
        <f>102+14/32</f>
        <v>102.4375</v>
      </c>
    </row>
    <row r="39" spans="1:29" x14ac:dyDescent="0.2">
      <c r="A39" t="s">
        <v>32</v>
      </c>
    </row>
    <row r="40" spans="1:29" x14ac:dyDescent="0.2">
      <c r="B40" s="1">
        <f>B14</f>
        <v>45425</v>
      </c>
      <c r="C40" s="1">
        <f t="array" ref="C40:O40">TRANSPOSE(A23:A35)</f>
        <v>45426</v>
      </c>
      <c r="D40" s="1">
        <v>45427</v>
      </c>
      <c r="E40" s="1">
        <v>45428</v>
      </c>
      <c r="F40" s="1">
        <v>45429</v>
      </c>
      <c r="G40" s="1">
        <v>45432</v>
      </c>
      <c r="H40" s="1">
        <v>45433</v>
      </c>
      <c r="I40" s="1">
        <v>45434</v>
      </c>
      <c r="J40" s="1">
        <v>45435</v>
      </c>
      <c r="K40" s="1">
        <v>45436</v>
      </c>
      <c r="L40" s="1">
        <v>45440</v>
      </c>
      <c r="M40" s="1">
        <v>45441</v>
      </c>
      <c r="N40" s="1">
        <v>45442</v>
      </c>
      <c r="O40" s="1">
        <v>45443</v>
      </c>
      <c r="P40" s="1">
        <v>45446</v>
      </c>
      <c r="Q40" s="1"/>
    </row>
    <row r="41" spans="1:29" x14ac:dyDescent="0.2">
      <c r="A41" t="s">
        <v>34</v>
      </c>
      <c r="B41">
        <f>Y22</f>
        <v>100.75916339581715</v>
      </c>
      <c r="C41" s="5">
        <f t="array" ref="C41:P41">TRANSPOSE(Y23:Y35)</f>
        <v>100.85123246297599</v>
      </c>
      <c r="D41" s="5">
        <v>100.94333961133719</v>
      </c>
      <c r="E41" s="5">
        <v>101.03548478793607</v>
      </c>
      <c r="F41" s="5">
        <v>101.1530158913686</v>
      </c>
      <c r="G41" s="5">
        <v>101.40444471355272</v>
      </c>
      <c r="H41" s="5">
        <v>101.49677923300793</v>
      </c>
      <c r="I41" s="5">
        <v>101.58915146059562</v>
      </c>
      <c r="J41" s="5">
        <v>101.68156134257865</v>
      </c>
      <c r="K41" s="5">
        <v>101.81169079458795</v>
      </c>
      <c r="L41" s="5">
        <v>102.14417367989935</v>
      </c>
      <c r="M41" s="5">
        <v>102.236808353594</v>
      </c>
      <c r="N41" s="5">
        <v>102.32948030243331</v>
      </c>
      <c r="O41" s="5">
        <v>102.44707653867624</v>
      </c>
      <c r="P41" s="5" t="e">
        <v>#N/A</v>
      </c>
      <c r="Q41" s="5"/>
      <c r="R41" s="1"/>
    </row>
    <row r="42" spans="1:29" x14ac:dyDescent="0.2">
      <c r="A42" s="1" t="s">
        <v>33</v>
      </c>
      <c r="B42" s="6">
        <f>B41/100*$H$2</f>
        <v>503795816.9790858</v>
      </c>
      <c r="C42" s="6">
        <f t="shared" ref="C42:O42" si="20">C41/100*$H$2</f>
        <v>504256162.31487989</v>
      </c>
      <c r="D42" s="6">
        <f t="shared" si="20"/>
        <v>504716698.05668592</v>
      </c>
      <c r="E42" s="6">
        <f t="shared" si="20"/>
        <v>505177423.93968034</v>
      </c>
      <c r="F42" s="6">
        <f t="shared" si="20"/>
        <v>505765079.45684302</v>
      </c>
      <c r="G42" s="6">
        <f t="shared" si="20"/>
        <v>507022223.56776363</v>
      </c>
      <c r="H42" s="6">
        <f t="shared" si="20"/>
        <v>507483896.16503966</v>
      </c>
      <c r="I42" s="6">
        <f t="shared" si="20"/>
        <v>507945757.3029781</v>
      </c>
      <c r="J42" s="6">
        <f t="shared" si="20"/>
        <v>508407806.71289319</v>
      </c>
      <c r="K42" s="6">
        <f t="shared" si="20"/>
        <v>509058453.97293967</v>
      </c>
      <c r="L42" s="6">
        <f t="shared" si="20"/>
        <v>510720868.39949679</v>
      </c>
      <c r="M42" s="6">
        <f t="shared" si="20"/>
        <v>511184041.76797003</v>
      </c>
      <c r="N42" s="6">
        <f t="shared" si="20"/>
        <v>511647401.51216656</v>
      </c>
      <c r="O42" s="6">
        <f t="shared" si="20"/>
        <v>512235382.69338119</v>
      </c>
    </row>
    <row r="44" spans="1:29" x14ac:dyDescent="0.2">
      <c r="A44" t="s">
        <v>36</v>
      </c>
      <c r="B44" s="6">
        <f>H2*L8/100</f>
        <v>502543784.34065932</v>
      </c>
    </row>
    <row r="45" spans="1:29" x14ac:dyDescent="0.2">
      <c r="A45" t="s">
        <v>42</v>
      </c>
      <c r="P45" s="6">
        <f>O42</f>
        <v>512235382.69338119</v>
      </c>
    </row>
    <row r="46" spans="1:29" x14ac:dyDescent="0.2">
      <c r="A46" t="s">
        <v>38</v>
      </c>
      <c r="B46" s="6">
        <f t="shared" ref="B46:O46" si="21">(1-$B$3)*B42</f>
        <v>493719900.63950408</v>
      </c>
      <c r="C46" s="6">
        <f t="shared" si="21"/>
        <v>494171039.0685823</v>
      </c>
      <c r="D46" s="6">
        <f t="shared" si="21"/>
        <v>494622364.09555221</v>
      </c>
      <c r="E46" s="6">
        <f t="shared" si="21"/>
        <v>495073875.46088672</v>
      </c>
      <c r="F46" s="6">
        <f t="shared" si="21"/>
        <v>495649777.86770612</v>
      </c>
      <c r="G46" s="6">
        <f t="shared" si="21"/>
        <v>496881779.09640837</v>
      </c>
      <c r="H46" s="6">
        <f t="shared" si="21"/>
        <v>497334218.24173886</v>
      </c>
      <c r="I46" s="6">
        <f t="shared" si="21"/>
        <v>497786842.15691853</v>
      </c>
      <c r="J46" s="6">
        <f t="shared" si="21"/>
        <v>498239650.57863533</v>
      </c>
      <c r="K46" s="6">
        <f t="shared" si="21"/>
        <v>498877284.8934809</v>
      </c>
      <c r="L46" s="6">
        <f t="shared" si="21"/>
        <v>500506451.03150684</v>
      </c>
      <c r="M46" s="6">
        <f t="shared" si="21"/>
        <v>500960360.93261063</v>
      </c>
      <c r="N46" s="6">
        <f t="shared" si="21"/>
        <v>501414453.48192322</v>
      </c>
      <c r="O46" s="6">
        <f t="shared" si="21"/>
        <v>501990675.03951353</v>
      </c>
    </row>
    <row r="47" spans="1:29" x14ac:dyDescent="0.2">
      <c r="A47" t="s">
        <v>37</v>
      </c>
      <c r="B47" s="6">
        <f>$B$44-B46</f>
        <v>8823883.7011552453</v>
      </c>
      <c r="C47" s="6">
        <f>$B$44-C46</f>
        <v>8372745.272077024</v>
      </c>
      <c r="D47" s="6">
        <f t="shared" ref="D47:O47" si="22">$B$44-D46</f>
        <v>7921420.2451071143</v>
      </c>
      <c r="E47" s="6">
        <f t="shared" si="22"/>
        <v>7469908.8797726035</v>
      </c>
      <c r="F47" s="6">
        <f t="shared" si="22"/>
        <v>6894006.4729532003</v>
      </c>
      <c r="G47" s="6">
        <f t="shared" si="22"/>
        <v>5662005.2442509532</v>
      </c>
      <c r="H47" s="6">
        <f t="shared" si="22"/>
        <v>5209566.0989204645</v>
      </c>
      <c r="I47" s="6">
        <f t="shared" si="22"/>
        <v>4756942.1837407947</v>
      </c>
      <c r="J47" s="6">
        <f t="shared" si="22"/>
        <v>4304133.7620239854</v>
      </c>
      <c r="K47" s="6">
        <f t="shared" si="22"/>
        <v>3666499.4471784234</v>
      </c>
      <c r="L47" s="6">
        <f t="shared" si="22"/>
        <v>2037333.3091524839</v>
      </c>
      <c r="M47" s="6">
        <f t="shared" si="22"/>
        <v>1583423.4080486894</v>
      </c>
      <c r="N47" s="6">
        <f t="shared" si="22"/>
        <v>1129330.8587360978</v>
      </c>
      <c r="O47" s="6">
        <f t="shared" si="22"/>
        <v>553109.30114579201</v>
      </c>
    </row>
    <row r="48" spans="1:29" x14ac:dyDescent="0.2">
      <c r="A48" t="s">
        <v>39</v>
      </c>
      <c r="C48" s="6">
        <f t="shared" ref="C48:P48" si="23">(C40-B40)/360*B46*$C$6</f>
        <v>76389.440182278835</v>
      </c>
      <c r="D48" s="6">
        <f t="shared" si="23"/>
        <v>76459.241322555652</v>
      </c>
      <c r="E48" s="6">
        <f t="shared" si="23"/>
        <v>76529.071333672939</v>
      </c>
      <c r="F48" s="6">
        <f t="shared" si="23"/>
        <v>76598.930175476082</v>
      </c>
      <c r="G48" s="6">
        <f t="shared" si="23"/>
        <v>230064.10522692691</v>
      </c>
      <c r="H48" s="6">
        <f t="shared" si="23"/>
        <v>76878.653043527636</v>
      </c>
      <c r="I48" s="6">
        <f t="shared" si="23"/>
        <v>76948.655433513486</v>
      </c>
      <c r="J48" s="6">
        <f t="shared" si="23"/>
        <v>77018.686411500996</v>
      </c>
      <c r="K48" s="6">
        <f t="shared" si="23"/>
        <v>77088.745936749969</v>
      </c>
      <c r="L48" s="6">
        <f t="shared" si="23"/>
        <v>308749.60853963206</v>
      </c>
      <c r="M48" s="6">
        <f t="shared" si="23"/>
        <v>77439.470340152591</v>
      </c>
      <c r="N48" s="6">
        <f t="shared" si="23"/>
        <v>77509.700288740045</v>
      </c>
      <c r="O48" s="6">
        <f t="shared" si="23"/>
        <v>77579.958497064232</v>
      </c>
      <c r="P48" s="6">
        <f t="shared" si="23"/>
        <v>233007.33833084087</v>
      </c>
      <c r="R48" s="6">
        <f>SUM(C48:P48)</f>
        <v>1618261.6050626324</v>
      </c>
    </row>
    <row r="49" spans="1:18" x14ac:dyDescent="0.2">
      <c r="A49" t="s">
        <v>41</v>
      </c>
      <c r="C49" s="6">
        <f>EXP((C40-B40)/365.25*$C$7)*B47-B47</f>
        <v>2657.8326641656458</v>
      </c>
      <c r="D49" s="6">
        <f t="shared" ref="D49:O49" si="24">EXP((D40-C40)/365.25*$C$7)*C47-C47</f>
        <v>2521.9457357479259</v>
      </c>
      <c r="E49" s="6">
        <f t="shared" si="24"/>
        <v>2386.0026023769751</v>
      </c>
      <c r="F49" s="6">
        <f t="shared" si="24"/>
        <v>2250.003342224285</v>
      </c>
      <c r="G49" s="6">
        <f t="shared" si="24"/>
        <v>6231.4857670050114</v>
      </c>
      <c r="H49" s="6">
        <f t="shared" si="24"/>
        <v>1705.4466029368341</v>
      </c>
      <c r="I49" s="6">
        <f t="shared" si="24"/>
        <v>1569.1678871549666</v>
      </c>
      <c r="J49" s="6">
        <f t="shared" si="24"/>
        <v>1432.8335170419887</v>
      </c>
      <c r="K49" s="6">
        <f t="shared" si="24"/>
        <v>1296.4435719102621</v>
      </c>
      <c r="L49" s="6">
        <f t="shared" si="24"/>
        <v>4419.5259610037319</v>
      </c>
      <c r="M49" s="6">
        <f t="shared" si="24"/>
        <v>613.66300829080865</v>
      </c>
      <c r="N49" s="6">
        <f t="shared" si="24"/>
        <v>476.94128771964461</v>
      </c>
      <c r="O49" s="6">
        <f t="shared" si="24"/>
        <v>340.16455187485553</v>
      </c>
      <c r="P49" s="6">
        <f t="shared" ref="P49" si="25">EXP((P40-O40)/365.25*$C$7)*O47-O47</f>
        <v>499.95496105356142</v>
      </c>
      <c r="R49" s="6">
        <f>SUM(C49:P49)</f>
        <v>28401.411460506497</v>
      </c>
    </row>
    <row r="51" spans="1:18" x14ac:dyDescent="0.2">
      <c r="R51" s="6">
        <f>P45-B44-R49-R48</f>
        <v>8044935.3361987323</v>
      </c>
    </row>
    <row r="56" spans="1:18" x14ac:dyDescent="0.2">
      <c r="A56" t="s">
        <v>43</v>
      </c>
      <c r="B56" t="s">
        <v>44</v>
      </c>
      <c r="C56" s="7">
        <f>H2</f>
        <v>500000000</v>
      </c>
      <c r="D56" t="s">
        <v>45</v>
      </c>
      <c r="E56">
        <f>L8</f>
        <v>100.50875686813187</v>
      </c>
    </row>
    <row r="57" spans="1:18" x14ac:dyDescent="0.2">
      <c r="B57" t="s">
        <v>46</v>
      </c>
      <c r="C57">
        <f>B35-A22</f>
        <v>21</v>
      </c>
      <c r="D57" t="s">
        <v>47</v>
      </c>
      <c r="E57">
        <f>AC37</f>
        <v>102.4375</v>
      </c>
    </row>
    <row r="58" spans="1:18" x14ac:dyDescent="0.2">
      <c r="B58" t="s">
        <v>48</v>
      </c>
    </row>
    <row r="59" spans="1:18" x14ac:dyDescent="0.2">
      <c r="B59" t="s">
        <v>49</v>
      </c>
      <c r="F59" s="6">
        <f>C56*(E57-E56)/100</f>
        <v>9643715.6593406573</v>
      </c>
    </row>
    <row r="60" spans="1:18" x14ac:dyDescent="0.2">
      <c r="B60" t="s">
        <v>50</v>
      </c>
      <c r="D60" s="7">
        <f>C56</f>
        <v>500000000</v>
      </c>
      <c r="E60" t="s">
        <v>51</v>
      </c>
      <c r="G60">
        <f>C6</f>
        <v>5.57E-2</v>
      </c>
    </row>
    <row r="61" spans="1:18" x14ac:dyDescent="0.2">
      <c r="D61" t="s">
        <v>52</v>
      </c>
      <c r="F61" s="6">
        <f>C56*G60*C57/360</f>
        <v>1624583.3333333333</v>
      </c>
    </row>
    <row r="62" spans="1:18" x14ac:dyDescent="0.2">
      <c r="D62" t="s">
        <v>53</v>
      </c>
      <c r="F62" s="6">
        <f>F59-F61</f>
        <v>8019132.3260073243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2023-08-23T21:33:27Z</dcterms:created>
  <dcterms:modified xsi:type="dcterms:W3CDTF">2023-09-13T23:22:09Z</dcterms:modified>
</cp:coreProperties>
</file>