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lamlap/classes/542/2019/PS/"/>
    </mc:Choice>
  </mc:AlternateContent>
  <xr:revisionPtr revIDLastSave="0" documentId="8_{E8525F91-EFD2-8C4B-8395-8AAD4C166255}" xr6:coauthVersionLast="45" xr6:coauthVersionMax="45" xr10:uidLastSave="{00000000-0000-0000-0000-000000000000}"/>
  <bookViews>
    <workbookView xWindow="2260" yWindow="460" windowWidth="28040" windowHeight="17440" xr2:uid="{4D682BF4-F580-A34C-8EEB-C06C9400324F}"/>
  </bookViews>
  <sheets>
    <sheet name="Rlzd Cash Flows" sheetId="1" r:id="rId1"/>
    <sheet name="Floater" sheetId="2" r:id="rId2"/>
    <sheet name="Convg1" sheetId="3" r:id="rId3"/>
    <sheet name="Note" sheetId="4" r:id="rId4"/>
  </sheets>
  <definedNames>
    <definedName name="solver_adj" localSheetId="1" hidden="1">Floater!$C$13</definedName>
    <definedName name="solver_cvg" localSheetId="1" hidden="1">0.00000000000000001</definedName>
    <definedName name="solver_drv" localSheetId="1" hidden="1">2</definedName>
    <definedName name="solver_eng" localSheetId="1" hidden="1">1</definedName>
    <definedName name="solver_itr" localSheetId="1" hidden="1">2147483647</definedName>
    <definedName name="solver_lin" localSheetId="1" hidden="1">2</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opt" localSheetId="1" hidden="1">Floater!$H$17</definedName>
    <definedName name="solver_pre" localSheetId="1" hidden="1">0.00000000000001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4" i="2" l="1"/>
  <c r="H61" i="2"/>
  <c r="F61" i="2"/>
  <c r="E60" i="2"/>
  <c r="E62" i="2" s="1"/>
  <c r="H56" i="2"/>
  <c r="H55" i="2"/>
  <c r="F55" i="2"/>
  <c r="G40" i="2"/>
  <c r="F40" i="2"/>
  <c r="F15" i="2" l="1"/>
  <c r="E15" i="2"/>
  <c r="F14" i="2"/>
  <c r="E14" i="2"/>
  <c r="F52" i="3"/>
  <c r="F50" i="3"/>
  <c r="D19" i="4"/>
  <c r="D20" i="4" s="1"/>
  <c r="E19" i="4"/>
  <c r="E20" i="4" s="1"/>
  <c r="F19" i="4"/>
  <c r="F20" i="4" s="1"/>
  <c r="G19" i="4"/>
  <c r="H19" i="4"/>
  <c r="I19" i="4"/>
  <c r="I20" i="4" s="1"/>
  <c r="J19" i="4"/>
  <c r="K19" i="4"/>
  <c r="C19" i="4"/>
  <c r="C20" i="4" s="1"/>
  <c r="K20" i="4"/>
  <c r="J20" i="4"/>
  <c r="H20" i="4"/>
  <c r="G20" i="4"/>
  <c r="E52" i="3"/>
  <c r="G8" i="3"/>
  <c r="E51" i="3" s="1"/>
  <c r="E50" i="3"/>
  <c r="D50" i="3"/>
  <c r="E43" i="3"/>
  <c r="E44" i="3" s="1"/>
  <c r="E45" i="3" s="1"/>
  <c r="E47" i="3"/>
  <c r="D12" i="4"/>
  <c r="D13" i="4" s="1"/>
  <c r="E12" i="4"/>
  <c r="E13" i="4" s="1"/>
  <c r="F12" i="4"/>
  <c r="F13" i="4" s="1"/>
  <c r="G12" i="4"/>
  <c r="H12" i="4"/>
  <c r="I12" i="4"/>
  <c r="J12" i="4"/>
  <c r="K12" i="4"/>
  <c r="K13" i="4" s="1"/>
  <c r="C12" i="4"/>
  <c r="C13" i="4" s="1"/>
  <c r="J13" i="4"/>
  <c r="I13" i="4"/>
  <c r="H13" i="4"/>
  <c r="G13" i="4"/>
  <c r="C54" i="3"/>
  <c r="L5" i="4"/>
  <c r="L6" i="4" s="1"/>
  <c r="K5" i="4"/>
  <c r="K6" i="4" s="1"/>
  <c r="J5" i="4"/>
  <c r="J6" i="4" s="1"/>
  <c r="I5" i="4"/>
  <c r="I6" i="4" s="1"/>
  <c r="H5" i="4"/>
  <c r="H6" i="4" s="1"/>
  <c r="G5" i="4"/>
  <c r="G6" i="4" s="1"/>
  <c r="F5" i="4"/>
  <c r="F6" i="4" s="1"/>
  <c r="E5" i="4"/>
  <c r="E6" i="4" s="1"/>
  <c r="D5" i="4"/>
  <c r="D6" i="4" s="1"/>
  <c r="C5" i="4"/>
  <c r="C6" i="4" s="1"/>
  <c r="C39" i="3"/>
  <c r="C38" i="3"/>
  <c r="D52" i="3" s="1"/>
  <c r="C44" i="3"/>
  <c r="C43" i="3"/>
  <c r="F43" i="3" s="1"/>
  <c r="F44" i="3" s="1"/>
  <c r="F45" i="3" s="1"/>
  <c r="F48" i="3" s="1"/>
  <c r="F54" i="3" s="1"/>
  <c r="C31" i="2"/>
  <c r="G42" i="2" s="1"/>
  <c r="C30" i="2"/>
  <c r="G55" i="2" s="1"/>
  <c r="G56" i="2" s="1"/>
  <c r="C29" i="2"/>
  <c r="C28" i="2"/>
  <c r="E55" i="2" s="1"/>
  <c r="E56" i="2" s="1"/>
  <c r="E63" i="2" s="1"/>
  <c r="G15" i="1"/>
  <c r="F15" i="1"/>
  <c r="F17" i="1" s="1"/>
  <c r="G16" i="1"/>
  <c r="E16" i="1"/>
  <c r="E15" i="1"/>
  <c r="E17" i="1" s="1"/>
  <c r="D15" i="1"/>
  <c r="D17" i="1" s="1"/>
  <c r="C16" i="1"/>
  <c r="C15" i="1"/>
  <c r="C17" i="1" s="1"/>
  <c r="F55" i="3" l="1"/>
  <c r="G17" i="1"/>
  <c r="F42" i="2"/>
  <c r="F56" i="2"/>
  <c r="F57" i="2" s="1"/>
  <c r="F58" i="2" s="1"/>
  <c r="F59" i="2" s="1"/>
  <c r="F60" i="2" s="1"/>
  <c r="F62" i="2" s="1"/>
  <c r="F63" i="2" s="1"/>
  <c r="E35" i="2"/>
  <c r="D43" i="3"/>
  <c r="D44" i="3" s="1"/>
  <c r="D45" i="3" s="1"/>
  <c r="E55" i="3" s="1"/>
  <c r="H57" i="2"/>
  <c r="H58" i="2" s="1"/>
  <c r="H59" i="2" s="1"/>
  <c r="H60" i="2" s="1"/>
  <c r="H62" i="2" s="1"/>
  <c r="H63" i="2" s="1"/>
  <c r="E16" i="2"/>
  <c r="F41" i="2"/>
  <c r="F43" i="2" s="1"/>
  <c r="F16" i="2"/>
  <c r="G41" i="2"/>
  <c r="G43" i="2" s="1"/>
  <c r="D17" i="2"/>
  <c r="H17" i="2" s="1"/>
  <c r="B21" i="4"/>
  <c r="B14" i="4"/>
  <c r="B7" i="4"/>
  <c r="D48" i="3" l="1"/>
  <c r="D54" i="3" s="1"/>
  <c r="G57" i="2"/>
  <c r="G58" i="2" s="1"/>
  <c r="G59" i="2" s="1"/>
  <c r="G60" i="2" s="1"/>
  <c r="G62" i="2" s="1"/>
  <c r="G63" i="2" s="1"/>
  <c r="D64" i="2" s="1"/>
  <c r="E48" i="3"/>
  <c r="E54" i="3" s="1"/>
  <c r="E44" i="2"/>
  <c r="F45" i="2" l="1"/>
  <c r="D65" i="2" s="1"/>
  <c r="H46" i="2"/>
  <c r="E51" i="2" s="1"/>
</calcChain>
</file>

<file path=xl/sharedStrings.xml><?xml version="1.0" encoding="utf-8"?>
<sst xmlns="http://schemas.openxmlformats.org/spreadsheetml/2006/main" count="155" uniqueCount="144">
  <si>
    <t>We enter a plain vanilla 5-year interest rate swap -- receive fixed / pay floating on October 15 2019.</t>
  </si>
  <si>
    <t>We will assume that all calendar quarters are exactly 1/4 of a year.</t>
  </si>
  <si>
    <t xml:space="preserve">On January 15 2020, 90-day Libor is </t>
  </si>
  <si>
    <t>On April 15, 2020, 90-day Libor is:</t>
  </si>
  <si>
    <t>Date:</t>
  </si>
  <si>
    <t>CF:</t>
  </si>
  <si>
    <t>Notional principal:</t>
  </si>
  <si>
    <t>Floating Tenor:</t>
  </si>
  <si>
    <t>Fixed tenor:</t>
  </si>
  <si>
    <t>We are told that the 5-year swap rate is 3%.  90-day Libor is:</t>
  </si>
  <si>
    <t xml:space="preserve">   Pay Float:</t>
  </si>
  <si>
    <t xml:space="preserve">   Rcv Fix:</t>
  </si>
  <si>
    <t>Net:</t>
  </si>
  <si>
    <t>Fixed rate:</t>
  </si>
  <si>
    <t xml:space="preserve">  Quarterly Libor rates are usually quoted on a quarterly-compounded basis.</t>
  </si>
  <si>
    <t xml:space="preserve">   Swap fixed rates are usually quoted on a bond-equivalent basis.</t>
  </si>
  <si>
    <t>Note that at the initialization of a swap there are no cash flows.  This is what makes swaps so popular.</t>
  </si>
  <si>
    <t>On July 15, 2020, 90-day Libor is:</t>
  </si>
  <si>
    <t>On October 15, 2020, 90-day Libor is:</t>
  </si>
  <si>
    <t>Show a timeline of all cash flows from the swap over the period Oct 15 2019 -- October 15 2020:</t>
  </si>
  <si>
    <t>If the yield curve is:</t>
  </si>
  <si>
    <t>Term</t>
  </si>
  <si>
    <t>90-day Libor</t>
  </si>
  <si>
    <t>This requires no calculations, as the value of a floater on its issue date -- or any reset date -- is par.</t>
  </si>
  <si>
    <t>Suppose in 2 months, we see the following yield curve:</t>
  </si>
  <si>
    <t>What is the value of the floater in the preceding question?</t>
  </si>
  <si>
    <t>At the next reset date--in one month-- we will get an interest payment of:</t>
  </si>
  <si>
    <t>Tenor:</t>
  </si>
  <si>
    <t>par:</t>
  </si>
  <si>
    <t xml:space="preserve">  and the floater will be worth par.</t>
  </si>
  <si>
    <t>Libor</t>
  </si>
  <si>
    <t>The value of that today is:</t>
  </si>
  <si>
    <t>What is the value of a 1-year floating-rate note with quarterly tenor and quarterly resets, with the terminal cash flow in 12 months, originated today?</t>
  </si>
  <si>
    <t xml:space="preserve">  (This is the cum-interest value of the floater.)</t>
  </si>
  <si>
    <t>In the same vein as the PiVe trade, we want to capture a positive swap spread..</t>
  </si>
  <si>
    <t>Example:</t>
  </si>
  <si>
    <t>5-year swap spread:</t>
  </si>
  <si>
    <t>5-year T-Note:</t>
  </si>
  <si>
    <t>yield</t>
  </si>
  <si>
    <t xml:space="preserve"> selling at par.</t>
  </si>
  <si>
    <t xml:space="preserve"> basis points</t>
  </si>
  <si>
    <t>3-mo repo:</t>
  </si>
  <si>
    <t>3-mo Libor:</t>
  </si>
  <si>
    <t>Trade:</t>
  </si>
  <si>
    <t>Enter a receive fixed / pay floating plain vanilla swap and short the Treasury.  The par value of the note is:</t>
  </si>
  <si>
    <t xml:space="preserve">  this is also the notional principal of the swap.</t>
  </si>
  <si>
    <t>Idea :</t>
  </si>
  <si>
    <t>We lock in the 75 basis point swap spread over the 5-year term</t>
  </si>
  <si>
    <t>But this will be offset by the financing spread which is currently -20 bps.  So if there are no disruptions and we hold the trade to term, we should be able to lock in a low risk return of 55 bps on the par value.</t>
  </si>
  <si>
    <t>We want to imagine what could possibly go wrong and do a scenario analysis of that state of nature.</t>
  </si>
  <si>
    <t>If rates rise in general, but credit spreads remain unchanged, what will happen?</t>
  </si>
  <si>
    <t>1) Price of T-Note will fall.  This will generate a capital inflow as we are short the note.</t>
  </si>
  <si>
    <t xml:space="preserve">2) Our swap will also suffer a loss in value.  This will require that we post collateral with a custodian.  </t>
  </si>
  <si>
    <t xml:space="preserve">     In the worst case scenario, this would tie-up firm capital, and the cost would be the spread between the Treasury that we post and our cost of capital.</t>
  </si>
  <si>
    <t>3) The repo rate that we earn on our cash collateral will rise.</t>
  </si>
  <si>
    <t>4) The Libor rates that we have to pay on the swap will rise.</t>
  </si>
  <si>
    <t xml:space="preserve">  ==&gt; Under the assumption of no change in creadit spreads, we do not expect big changes in the Libor - repo spread however, so as we have to pay more on the swap, we will make more on repo.</t>
  </si>
  <si>
    <t>We would have to assess the margin requirements of the swap and compare those to the capital gain on the note when rates rise.</t>
  </si>
  <si>
    <t>A natural assumption is that we are required to post cash collateral to offset any capital loss on the swap.  To first order approximation, this would be roughly equal to the capital freed from the repo.</t>
  </si>
  <si>
    <t xml:space="preserve">The worst case scenario is what happened in the PiVe case.  Here rates fall due to a financial crisis, accompanied by a rise in credit risk and risk premia. </t>
  </si>
  <si>
    <t xml:space="preserve">Now we have to post additional collateral to keep our repo open.  </t>
  </si>
  <si>
    <t>Since the counterparty on our swap is a large bank, such as Goldman-Sachs, they do not have to post any collateral against their increased swap liability.</t>
  </si>
  <si>
    <t>Furthermore, Libor could spike versus repo, which would hurt us, as in the PiVe Case.</t>
  </si>
  <si>
    <t>Scenario:</t>
  </si>
  <si>
    <t>Time (Years):</t>
  </si>
  <si>
    <t xml:space="preserve">   Short Note</t>
  </si>
  <si>
    <t xml:space="preserve">   Repo</t>
  </si>
  <si>
    <t xml:space="preserve">  Enter Swap:</t>
  </si>
  <si>
    <t xml:space="preserve">      Fixed</t>
  </si>
  <si>
    <t xml:space="preserve">      Fltg:</t>
  </si>
  <si>
    <t>Total:</t>
  </si>
  <si>
    <t>90-day Repo</t>
  </si>
  <si>
    <t>Note Dirty Pr</t>
  </si>
  <si>
    <t>Swap PV:</t>
  </si>
  <si>
    <t>Collateral Reqd:</t>
  </si>
  <si>
    <t xml:space="preserve">   Coupon:</t>
  </si>
  <si>
    <t>Cost of capital:</t>
  </si>
  <si>
    <t>Capital cost:</t>
  </si>
  <si>
    <t>Total Capital:</t>
  </si>
  <si>
    <t xml:space="preserve">   Capital to Repo:</t>
  </si>
  <si>
    <t>At time 0.75 the firm has over $8 million of its capital tied-up in the trade, and it faces further losses if Libor stays high, so the firm would move to cut its losses.</t>
  </si>
  <si>
    <t>1-year swap coupon rate:</t>
  </si>
  <si>
    <t>Is the rate</t>
  </si>
  <si>
    <t xml:space="preserve"> that makes the following discounted cash flows equal 100:</t>
  </si>
  <si>
    <t>df:</t>
  </si>
  <si>
    <t>PV:</t>
  </si>
  <si>
    <t xml:space="preserve">  We use Solver to minimize:</t>
  </si>
  <si>
    <t xml:space="preserve"> by changing Cell C13.</t>
  </si>
  <si>
    <t>Note the difference between the use of Solver in this case -- to find the swap rate -- and the use of Solver to find a bond's ytm,</t>
  </si>
  <si>
    <t>Here, we know the discount factors and the dirty price--what we solve for is the coupon.  As the discount factors are determined by the yield curve.</t>
  </si>
  <si>
    <t xml:space="preserve">The swap rate (unlike most coupon rates) is expressed in 8 decimal places.  </t>
  </si>
  <si>
    <t>So here we would see:</t>
  </si>
  <si>
    <t>There are 2 ways to get the value of the swap:</t>
  </si>
  <si>
    <t>1) Since we know the value of the floater, get the value of the corresponding fixed-rate bond:</t>
  </si>
  <si>
    <t>Term (Yrs):</t>
  </si>
  <si>
    <t>So the value of a receive fixed, pay floating is:</t>
  </si>
  <si>
    <t xml:space="preserve">  and the value of a pay fixed, receive floating with the same terms is:</t>
  </si>
  <si>
    <t xml:space="preserve">This shows that whereas the swap's coupon is set so that the wap has a 0 value at origination, that value can change over time.  </t>
  </si>
  <si>
    <t xml:space="preserve">  Of course the swap is a 0-sum game: one counterparty's loss is the other counterparty's gain.</t>
  </si>
  <si>
    <t>Suppose that this is a swap for $100 million notional principal where the Harvard Foundation is the receive fixed counterparty, and Goldman-Sachs is the receive floating counterparty, then at this point  the Harvard foundation would have to post</t>
  </si>
  <si>
    <t xml:space="preserve"> (Cash collateral usually includes Treasury Bills.)</t>
  </si>
  <si>
    <t xml:space="preserve">      cash collateral with a custodian of:</t>
  </si>
  <si>
    <t>90-day forward discount factor:</t>
  </si>
  <si>
    <t>90-day forward cc rate:</t>
  </si>
  <si>
    <t>Reset rate:</t>
  </si>
  <si>
    <t>Pay Float:</t>
  </si>
  <si>
    <t>Notional Principal:</t>
  </si>
  <si>
    <t>Receive Fixed:</t>
  </si>
  <si>
    <t>Net CF:</t>
  </si>
  <si>
    <t>The second way we can value the swap is using the forward rates for future resets:</t>
  </si>
  <si>
    <t>Verify:</t>
  </si>
  <si>
    <t xml:space="preserve">  Both approaches give the same swap value.</t>
  </si>
  <si>
    <t xml:space="preserve">  This is because of the relationships between the forward rates and discount factors.</t>
  </si>
  <si>
    <t>The current market situation reflects a breakdown in the repo markets.  Swap rates are lower than corresponding Treasury yields,and repo rates are higher than Libor.</t>
  </si>
  <si>
    <t xml:space="preserve">  Both situations seem to be inconsistent with basic economic forces.  Treasury securities are the least risky in the world, and involve no counterparty risk.</t>
  </si>
  <si>
    <t xml:space="preserve">      Offsetting this is the collateral arrangement underlying swap transactions.  Nevertheless, in general AAA dealers do not post collateral.</t>
  </si>
  <si>
    <t>Repo is fully collateralized whereas Libor entails default risk of the underlying bank--and is not collateralized.</t>
  </si>
  <si>
    <t>So why the optical arbitrage?</t>
  </si>
  <si>
    <t xml:space="preserve">    Regulatory changes that impact repo transactions following the global financial crisis (under the Basel Agreements).</t>
  </si>
  <si>
    <t>So why not make the trade?</t>
  </si>
  <si>
    <t>Suppose that the 5-year Treasury note yields:</t>
  </si>
  <si>
    <t xml:space="preserve">  and the 5-year swap rate is:</t>
  </si>
  <si>
    <t>Our instinct is to enter a receive floating, pay fixed swap and buy the Treasury -- locking in a risk-free 30 bps.</t>
  </si>
  <si>
    <t>In the swap we will receive Libor, and we will have to pay repo to finance the Note.</t>
  </si>
  <si>
    <t xml:space="preserve">This creates several problems.  </t>
  </si>
  <si>
    <t>1. As rates stand this reduces our spread from 30 to -10 bps.  So we would start losing money right away.</t>
  </si>
  <si>
    <t>2. In a manner that is opposite to what happened in the crisis, repo has been spiking (although the Fed is currently intrevening).  That would cost us.</t>
  </si>
  <si>
    <t>3. Note that we have a term-structure misalignment with Libor and repo.  After the crisis, it is virtually impossible to get a repo loan for more than</t>
  </si>
  <si>
    <t xml:space="preserve">    1 month.</t>
  </si>
  <si>
    <t>Our margin exposure:</t>
  </si>
  <si>
    <t>We have asymmetries in margin on the swap. Our exposure is if the receive floating swap value falls, which will happen if rates fall.</t>
  </si>
  <si>
    <t>This is a standard hedging example.  The company would enter a pay fixed / receive floating plain vanilla interest rate swap with the following motivation:</t>
  </si>
  <si>
    <t xml:space="preserve">                 Furthermore, in this case, our swap position becomes more valuable so we have no collateral requirements.</t>
  </si>
  <si>
    <t xml:space="preserve">          If rates rise--relative to forward rates-- then we will be happy with the hedge, as we will pay higher rates on the debt, but we will offset this with the higher floating rates that we receive from the swap.</t>
  </si>
  <si>
    <t xml:space="preserve">          If rates don't change--relative to forward rates-- then the swap will not affect our cash flows or value.</t>
  </si>
  <si>
    <t xml:space="preserve">          If rates drop--relative to forward rates--then we receive lower rates on our swap, but this is offset by the fact that we make lower payments on our debt.</t>
  </si>
  <si>
    <t xml:space="preserve">                 But this situation could have negative effects on the company.  In this case there will be a capital loss on the swap, and the counterparty may require our company to post cash collateral equal to the</t>
  </si>
  <si>
    <t xml:space="preserve">                        loss in the value of the swap.  For example, a 10% drop in the value of the swap would mean our company would have to post $100 million of cash as collateral.  </t>
  </si>
  <si>
    <t xml:space="preserve">                        This is likely going to coincide with recession-like macroeconomic conditions, when the need for cash collateral is heightened.</t>
  </si>
  <si>
    <t>3. Hedge Discussion.</t>
  </si>
  <si>
    <t>In that event, our Note should also rise in value, and we would be able to take capital out of our repo.  So the macro exposure -- through a margin imbalance-- is not a concern here.</t>
  </si>
  <si>
    <t>But 90-day Libor is .02 and 30-day repo is 0.024.</t>
  </si>
  <si>
    <t>The company has $1 billion in 5-year, floating-rate debt outstanding.  If they attempt to convert this to a fixed rate with a swap, how would it work, and what are the risks.</t>
  </si>
  <si>
    <t>So, ironically, by putting on a hedge we can actually add risk to our company!  This is because, in the event of a large drop in rates, we cannot capitalize the lower borrowing costs, and we have mark-to-market exposure on the swap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</si>
</sst>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2">
    <font>
      <sz val="12"/>
      <color theme="1"/>
      <name val="Calibri"/>
      <family val="2"/>
      <scheme val="minor"/>
    </font>
    <font>
      <sz val="11"/>
      <color theme="1"/>
      <name val="Menlo"/>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4" fontId="0" fillId="0" borderId="0" xfId="0" applyNumberFormat="1"/>
    <xf numFmtId="3" fontId="0" fillId="0" borderId="0" xfId="0" applyNumberFormat="1"/>
    <xf numFmtId="9" fontId="0" fillId="0" borderId="0" xfId="0" applyNumberFormat="1"/>
    <xf numFmtId="0" fontId="0" fillId="0" borderId="0" xfId="0" quotePrefix="1"/>
    <xf numFmtId="164" fontId="0" fillId="0" borderId="0" xfId="0" applyNumberFormat="1"/>
    <xf numFmtId="0" fontId="1" fillId="0" borderId="0" xfId="0" applyFont="1"/>
    <xf numFmtId="165"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5F83-AF71-FA4E-AD5D-D8D0A1803963}">
  <dimension ref="A1:L20"/>
  <sheetViews>
    <sheetView tabSelected="1" workbookViewId="0">
      <selection activeCell="E27" sqref="E27"/>
    </sheetView>
  </sheetViews>
  <sheetFormatPr baseColWidth="10" defaultRowHeight="16"/>
  <sheetData>
    <row r="1" spans="1:12">
      <c r="A1" t="s">
        <v>9</v>
      </c>
      <c r="F1">
        <v>2.1999999999999999E-2</v>
      </c>
      <c r="G1" t="s">
        <v>14</v>
      </c>
    </row>
    <row r="3" spans="1:12">
      <c r="A3" t="s">
        <v>0</v>
      </c>
      <c r="I3" t="s">
        <v>6</v>
      </c>
      <c r="K3" s="2">
        <v>10000000</v>
      </c>
    </row>
    <row r="4" spans="1:12">
      <c r="A4" t="s">
        <v>1</v>
      </c>
      <c r="I4" t="s">
        <v>7</v>
      </c>
      <c r="K4">
        <v>0.25</v>
      </c>
    </row>
    <row r="5" spans="1:12">
      <c r="I5" t="s">
        <v>8</v>
      </c>
      <c r="K5">
        <v>0.5</v>
      </c>
    </row>
    <row r="6" spans="1:12">
      <c r="A6" t="s">
        <v>2</v>
      </c>
      <c r="D6">
        <v>2.3E-2</v>
      </c>
      <c r="I6" t="s">
        <v>13</v>
      </c>
      <c r="K6">
        <v>0.03</v>
      </c>
      <c r="L6" t="s">
        <v>15</v>
      </c>
    </row>
    <row r="7" spans="1:12">
      <c r="A7" t="s">
        <v>3</v>
      </c>
      <c r="D7">
        <v>2.4E-2</v>
      </c>
    </row>
    <row r="8" spans="1:12">
      <c r="A8" t="s">
        <v>17</v>
      </c>
      <c r="D8">
        <v>2.5000000000000001E-2</v>
      </c>
    </row>
    <row r="9" spans="1:12">
      <c r="A9" t="s">
        <v>18</v>
      </c>
      <c r="D9">
        <v>2.5999999999999999E-2</v>
      </c>
    </row>
    <row r="11" spans="1:12">
      <c r="A11" t="s">
        <v>19</v>
      </c>
    </row>
    <row r="13" spans="1:12">
      <c r="B13" t="s">
        <v>4</v>
      </c>
      <c r="C13" s="1">
        <v>43753</v>
      </c>
      <c r="D13" s="1">
        <v>43845</v>
      </c>
      <c r="E13" s="1">
        <v>43936</v>
      </c>
      <c r="F13" s="1">
        <v>44027</v>
      </c>
      <c r="G13" s="1">
        <v>44119</v>
      </c>
    </row>
    <row r="14" spans="1:12">
      <c r="B14" t="s">
        <v>5</v>
      </c>
      <c r="D14" s="2"/>
      <c r="E14" s="2"/>
    </row>
    <row r="15" spans="1:12">
      <c r="B15" s="2" t="s">
        <v>10</v>
      </c>
      <c r="C15" s="2">
        <f>K3</f>
        <v>10000000</v>
      </c>
      <c r="D15" s="2">
        <f>-K3*F1*K4</f>
        <v>-55000</v>
      </c>
      <c r="E15" s="2">
        <f>-K3*D6*K4</f>
        <v>-57500</v>
      </c>
      <c r="F15" s="2">
        <f>-K3*D7*K4</f>
        <v>-60000</v>
      </c>
      <c r="G15" s="2">
        <f>-D8*K3*K4</f>
        <v>-62500</v>
      </c>
    </row>
    <row r="16" spans="1:12">
      <c r="B16" s="2" t="s">
        <v>11</v>
      </c>
      <c r="C16" s="2">
        <f>-K3</f>
        <v>-10000000</v>
      </c>
      <c r="D16" s="2">
        <v>0</v>
      </c>
      <c r="E16" s="2">
        <f>K3*K6*K5</f>
        <v>150000</v>
      </c>
      <c r="F16" s="2">
        <v>0</v>
      </c>
      <c r="G16" s="2">
        <f>K3*K6*K5</f>
        <v>150000</v>
      </c>
    </row>
    <row r="17" spans="2:7">
      <c r="B17" t="s">
        <v>12</v>
      </c>
      <c r="C17" s="2">
        <f>C15+C16</f>
        <v>0</v>
      </c>
      <c r="D17" s="2">
        <f>D15+D16</f>
        <v>-55000</v>
      </c>
      <c r="E17" s="2">
        <f>E15+E16</f>
        <v>92500</v>
      </c>
      <c r="F17" s="2">
        <f>F15+F16</f>
        <v>-60000</v>
      </c>
      <c r="G17" s="2">
        <f>G15+G16</f>
        <v>87500</v>
      </c>
    </row>
    <row r="18" spans="2:7">
      <c r="F18" s="2"/>
    </row>
    <row r="20" spans="2:7">
      <c r="C20"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1B32-EA84-8D48-AD81-22B61ECD23A6}">
  <dimension ref="A1:K66"/>
  <sheetViews>
    <sheetView zoomScale="143" zoomScaleNormal="143" workbookViewId="0">
      <selection activeCell="H15" sqref="H15"/>
    </sheetView>
  </sheetViews>
  <sheetFormatPr baseColWidth="10" defaultRowHeight="16"/>
  <cols>
    <col min="4" max="4" width="12.5" customWidth="1"/>
  </cols>
  <sheetData>
    <row r="1" spans="1:6">
      <c r="A1" t="s">
        <v>20</v>
      </c>
    </row>
    <row r="2" spans="1:6">
      <c r="B2" t="s">
        <v>21</v>
      </c>
      <c r="C2" t="s">
        <v>30</v>
      </c>
    </row>
    <row r="3" spans="1:6">
      <c r="B3">
        <v>0.25</v>
      </c>
      <c r="C3">
        <v>2.9000000000000001E-2</v>
      </c>
    </row>
    <row r="4" spans="1:6">
      <c r="B4">
        <v>0.5</v>
      </c>
      <c r="C4">
        <v>2.8000000000000001E-2</v>
      </c>
    </row>
    <row r="5" spans="1:6">
      <c r="B5">
        <v>0.75</v>
      </c>
      <c r="C5">
        <v>2.7E-2</v>
      </c>
    </row>
    <row r="6" spans="1:6">
      <c r="B6">
        <v>1</v>
      </c>
      <c r="C6">
        <v>2.6499999999999999E-2</v>
      </c>
    </row>
    <row r="9" spans="1:6">
      <c r="A9" t="s">
        <v>32</v>
      </c>
    </row>
    <row r="10" spans="1:6">
      <c r="A10" t="s">
        <v>23</v>
      </c>
    </row>
    <row r="12" spans="1:6">
      <c r="A12" t="s">
        <v>81</v>
      </c>
    </row>
    <row r="13" spans="1:6">
      <c r="A13" s="6"/>
      <c r="B13" t="s">
        <v>82</v>
      </c>
      <c r="C13">
        <v>2.6597749618016735E-2</v>
      </c>
      <c r="D13" t="s">
        <v>83</v>
      </c>
    </row>
    <row r="14" spans="1:6">
      <c r="A14" s="6"/>
      <c r="D14" t="s">
        <v>5</v>
      </c>
      <c r="E14">
        <f>50*C13</f>
        <v>1.3298874809008367</v>
      </c>
      <c r="F14">
        <f>100*(1+C13/2)</f>
        <v>101.32988748090084</v>
      </c>
    </row>
    <row r="15" spans="1:6">
      <c r="A15" s="6"/>
      <c r="D15" t="s">
        <v>84</v>
      </c>
      <c r="E15">
        <f>1/(1+C4/4)^(4*B4)</f>
        <v>0.98614563990497528</v>
      </c>
      <c r="F15">
        <f>1/(1+C6/4)^(4*B6)</f>
        <v>0.97393315745807696</v>
      </c>
    </row>
    <row r="16" spans="1:6">
      <c r="D16" t="s">
        <v>85</v>
      </c>
      <c r="E16">
        <f>E14*E15</f>
        <v>1.3114627408545712</v>
      </c>
      <c r="F16">
        <f>F14*F15</f>
        <v>98.68853725914542</v>
      </c>
    </row>
    <row r="17" spans="2:10">
      <c r="D17">
        <f>SUM(E16:F16)</f>
        <v>99.999999999999986</v>
      </c>
      <c r="E17" t="s">
        <v>86</v>
      </c>
      <c r="H17">
        <f>(D17-100)^2</f>
        <v>2.0194839173657902E-28</v>
      </c>
      <c r="I17" t="s">
        <v>87</v>
      </c>
    </row>
    <row r="18" spans="2:10">
      <c r="B18" t="s">
        <v>88</v>
      </c>
    </row>
    <row r="19" spans="2:10">
      <c r="B19" t="s">
        <v>89</v>
      </c>
    </row>
    <row r="20" spans="2:10">
      <c r="B20" t="s">
        <v>90</v>
      </c>
      <c r="H20" t="s">
        <v>91</v>
      </c>
      <c r="J20" s="7">
        <v>2.659775E-2</v>
      </c>
    </row>
    <row r="26" spans="2:10">
      <c r="B26" t="s">
        <v>24</v>
      </c>
      <c r="G26" t="s">
        <v>27</v>
      </c>
      <c r="H26">
        <v>0.25</v>
      </c>
    </row>
    <row r="27" spans="2:10">
      <c r="C27" t="s">
        <v>21</v>
      </c>
      <c r="D27" t="s">
        <v>30</v>
      </c>
      <c r="G27" t="s">
        <v>28</v>
      </c>
      <c r="H27">
        <v>100</v>
      </c>
    </row>
    <row r="28" spans="2:10">
      <c r="C28">
        <f>1/12</f>
        <v>8.3333333333333329E-2</v>
      </c>
      <c r="D28">
        <v>2.5999999999999999E-2</v>
      </c>
    </row>
    <row r="29" spans="2:10">
      <c r="C29">
        <f>4/12</f>
        <v>0.33333333333333331</v>
      </c>
      <c r="D29">
        <v>2.6499999999999999E-2</v>
      </c>
    </row>
    <row r="30" spans="2:10">
      <c r="C30">
        <f>7/12</f>
        <v>0.58333333333333337</v>
      </c>
      <c r="D30">
        <v>2.7E-2</v>
      </c>
    </row>
    <row r="31" spans="2:10">
      <c r="C31">
        <f>10/12</f>
        <v>0.83333333333333337</v>
      </c>
      <c r="D31">
        <v>2.8000000000000001E-2</v>
      </c>
    </row>
    <row r="32" spans="2:10">
      <c r="B32" t="s">
        <v>25</v>
      </c>
    </row>
    <row r="34" spans="1:11">
      <c r="B34" t="s">
        <v>26</v>
      </c>
      <c r="H34">
        <f>C3*H27*H26</f>
        <v>0.72500000000000009</v>
      </c>
      <c r="I34" t="s">
        <v>29</v>
      </c>
    </row>
    <row r="35" spans="1:11">
      <c r="C35" t="s">
        <v>31</v>
      </c>
      <c r="E35">
        <f>(H27+H34)/(1+D28/4)^(C28*4)</f>
        <v>100.50770344056764</v>
      </c>
      <c r="F35" t="s">
        <v>33</v>
      </c>
    </row>
    <row r="38" spans="1:11">
      <c r="A38" t="s">
        <v>92</v>
      </c>
    </row>
    <row r="39" spans="1:11">
      <c r="A39" t="s">
        <v>93</v>
      </c>
    </row>
    <row r="40" spans="1:11">
      <c r="E40" t="s">
        <v>94</v>
      </c>
      <c r="F40">
        <f>4/12</f>
        <v>0.33333333333333331</v>
      </c>
      <c r="G40">
        <f>10/12</f>
        <v>0.83333333333333337</v>
      </c>
    </row>
    <row r="41" spans="1:11">
      <c r="E41" t="s">
        <v>5</v>
      </c>
      <c r="F41">
        <f>E14</f>
        <v>1.3298874809008367</v>
      </c>
      <c r="G41">
        <f>F14</f>
        <v>101.32988748090084</v>
      </c>
    </row>
    <row r="42" spans="1:11">
      <c r="E42" t="s">
        <v>84</v>
      </c>
      <c r="F42">
        <f>1/(1+D29/4)^(4*C29)</f>
        <v>0.99123444197918109</v>
      </c>
      <c r="G42">
        <f>1/(1+D31/4)^(4*C31)</f>
        <v>0.97701619991909761</v>
      </c>
    </row>
    <row r="43" spans="1:11">
      <c r="E43" t="s">
        <v>85</v>
      </c>
      <c r="F43">
        <f>F41*F42</f>
        <v>1.3182302750258397</v>
      </c>
      <c r="G43">
        <f>G41*G42</f>
        <v>99.000941604819474</v>
      </c>
    </row>
    <row r="44" spans="1:11">
      <c r="E44">
        <f>F43+G43</f>
        <v>100.31917187984531</v>
      </c>
      <c r="I44" t="s">
        <v>106</v>
      </c>
      <c r="K44">
        <v>10000000</v>
      </c>
    </row>
    <row r="45" spans="1:11">
      <c r="B45" t="s">
        <v>95</v>
      </c>
      <c r="F45">
        <f>E44-E35</f>
        <v>-0.1885315607223248</v>
      </c>
    </row>
    <row r="46" spans="1:11">
      <c r="B46" t="s">
        <v>96</v>
      </c>
      <c r="H46">
        <f>E35-E44</f>
        <v>0.1885315607223248</v>
      </c>
    </row>
    <row r="48" spans="1:11">
      <c r="B48" t="s">
        <v>97</v>
      </c>
    </row>
    <row r="49" spans="1:10">
      <c r="B49" t="s">
        <v>98</v>
      </c>
    </row>
    <row r="50" spans="1:10">
      <c r="B50" t="s">
        <v>99</v>
      </c>
    </row>
    <row r="51" spans="1:10">
      <c r="B51" t="s">
        <v>101</v>
      </c>
      <c r="E51" s="8">
        <f>K44*H46/100</f>
        <v>18853.156072232479</v>
      </c>
      <c r="F51" t="s">
        <v>100</v>
      </c>
    </row>
    <row r="53" spans="1:10">
      <c r="A53" t="s">
        <v>109</v>
      </c>
      <c r="H53" t="s">
        <v>106</v>
      </c>
      <c r="J53" s="2">
        <v>10000000</v>
      </c>
    </row>
    <row r="55" spans="1:10">
      <c r="D55" t="s">
        <v>94</v>
      </c>
      <c r="E55">
        <f>C28</f>
        <v>8.3333333333333329E-2</v>
      </c>
      <c r="F55">
        <f>4/12</f>
        <v>0.33333333333333331</v>
      </c>
      <c r="G55">
        <f>C30</f>
        <v>0.58333333333333337</v>
      </c>
      <c r="H55">
        <f>10/12</f>
        <v>0.83333333333333337</v>
      </c>
    </row>
    <row r="56" spans="1:10">
      <c r="D56" t="s">
        <v>84</v>
      </c>
      <c r="E56">
        <f>1/(1+D28/4)^(4*E55)</f>
        <v>0.99784267501184065</v>
      </c>
      <c r="F56">
        <f>1/(1+D29/4)^(4*C29)</f>
        <v>0.99123444197918109</v>
      </c>
      <c r="G56">
        <f>1/(1+D30/4)^(4*G55)</f>
        <v>0.98442547533822877</v>
      </c>
      <c r="H56">
        <f>1/(1+D31/4)^(4*H55)</f>
        <v>0.97701619991909761</v>
      </c>
    </row>
    <row r="57" spans="1:10">
      <c r="B57" t="s">
        <v>102</v>
      </c>
      <c r="F57">
        <f>F56/E56</f>
        <v>0.99337748003954518</v>
      </c>
      <c r="G57">
        <f>G56/F56</f>
        <v>0.9931308211734885</v>
      </c>
      <c r="H57">
        <f>H56/G56</f>
        <v>0.99247350296721493</v>
      </c>
    </row>
    <row r="58" spans="1:10">
      <c r="B58" t="s">
        <v>103</v>
      </c>
      <c r="F58">
        <f>LN(F57)/-0.25</f>
        <v>2.6578184582105747E-2</v>
      </c>
      <c r="G58">
        <f>LN(G57)/-0.25</f>
        <v>2.7571520948930613E-2</v>
      </c>
      <c r="H58">
        <f>LN(H57)/-0.25</f>
        <v>3.0219856157687141E-2</v>
      </c>
    </row>
    <row r="59" spans="1:10">
      <c r="B59" t="s">
        <v>104</v>
      </c>
      <c r="F59">
        <f>((EXP(F58))^(1/4)-1)*4</f>
        <v>2.666668046548093E-2</v>
      </c>
      <c r="G59">
        <f>((EXP(G58))^(1/4)-1)*4</f>
        <v>2.7666763250363324E-2</v>
      </c>
      <c r="H59">
        <f>((EXP(H58))^(1/4)-1)*4</f>
        <v>3.0334299143636834E-2</v>
      </c>
    </row>
    <row r="60" spans="1:10">
      <c r="B60" t="s">
        <v>105</v>
      </c>
      <c r="E60" s="8">
        <f>J53*C3/4</f>
        <v>72500</v>
      </c>
      <c r="F60" s="8">
        <f>$J$53*F59/4</f>
        <v>66666.701163702324</v>
      </c>
      <c r="G60" s="8">
        <f t="shared" ref="G60:H60" si="0">$J$53*G59/4</f>
        <v>69166.908125908318</v>
      </c>
      <c r="H60" s="8">
        <f t="shared" si="0"/>
        <v>75835.74785909208</v>
      </c>
    </row>
    <row r="61" spans="1:10">
      <c r="B61" t="s">
        <v>107</v>
      </c>
      <c r="F61" s="8">
        <f>C13/2*J53</f>
        <v>132988.74809008368</v>
      </c>
      <c r="H61" s="8">
        <f>C13/2*J53</f>
        <v>132988.74809008368</v>
      </c>
    </row>
    <row r="62" spans="1:10">
      <c r="C62" t="s">
        <v>108</v>
      </c>
      <c r="E62" s="8">
        <f>E61-E60</f>
        <v>-72500</v>
      </c>
      <c r="F62" s="8">
        <f t="shared" ref="F62:H62" si="1">F61-F60</f>
        <v>66322.046926381357</v>
      </c>
      <c r="G62" s="8">
        <f t="shared" si="1"/>
        <v>-69166.908125908318</v>
      </c>
      <c r="H62" s="8">
        <f t="shared" si="1"/>
        <v>57153.000230991602</v>
      </c>
    </row>
    <row r="63" spans="1:10">
      <c r="C63" t="s">
        <v>85</v>
      </c>
      <c r="E63" s="8">
        <f>E62*E56</f>
        <v>-72343.593938358448</v>
      </c>
      <c r="F63" s="8">
        <f>F62*F56</f>
        <v>65740.69717598868</v>
      </c>
      <c r="G63" s="8">
        <f t="shared" ref="G63:H63" si="2">G62*G56</f>
        <v>-68089.666409522892</v>
      </c>
      <c r="H63" s="8">
        <f t="shared" si="2"/>
        <v>55839.407099658725</v>
      </c>
    </row>
    <row r="64" spans="1:10">
      <c r="D64" s="8">
        <f>SUM(E63:H63)</f>
        <v>-18853.156072233935</v>
      </c>
    </row>
    <row r="65" spans="3:5">
      <c r="C65" t="s">
        <v>110</v>
      </c>
      <c r="D65" s="8">
        <f>J53*F45/100</f>
        <v>-18853.156072232479</v>
      </c>
      <c r="E65" t="s">
        <v>111</v>
      </c>
    </row>
    <row r="66" spans="3:5">
      <c r="E66"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2E6D-C935-9A4D-87BE-ADFACDCA04D6}">
  <dimension ref="A1:L97"/>
  <sheetViews>
    <sheetView workbookViewId="0">
      <selection activeCell="B98" sqref="B98"/>
    </sheetView>
  </sheetViews>
  <sheetFormatPr baseColWidth="10" defaultRowHeight="16"/>
  <cols>
    <col min="2" max="2" width="15.1640625" customWidth="1"/>
    <col min="3" max="3" width="11.83203125" bestFit="1" customWidth="1"/>
    <col min="4" max="4" width="12.5" customWidth="1"/>
    <col min="5" max="5" width="14.5" customWidth="1"/>
    <col min="6" max="6" width="12.83203125" customWidth="1"/>
    <col min="11" max="11" width="13" customWidth="1"/>
  </cols>
  <sheetData>
    <row r="1" spans="1:12">
      <c r="A1" t="s">
        <v>34</v>
      </c>
    </row>
    <row r="3" spans="1:12">
      <c r="B3" t="s">
        <v>35</v>
      </c>
    </row>
    <row r="4" spans="1:12">
      <c r="C4" t="s">
        <v>37</v>
      </c>
      <c r="E4" t="s">
        <v>38</v>
      </c>
      <c r="F4" s="3">
        <v>0.03</v>
      </c>
      <c r="G4" t="s">
        <v>39</v>
      </c>
    </row>
    <row r="5" spans="1:12">
      <c r="C5" t="s">
        <v>41</v>
      </c>
      <c r="D5">
        <v>0.02</v>
      </c>
    </row>
    <row r="8" spans="1:12">
      <c r="C8" t="s">
        <v>36</v>
      </c>
      <c r="E8">
        <v>75</v>
      </c>
      <c r="F8" t="s">
        <v>40</v>
      </c>
      <c r="G8" s="5">
        <f>F4+0.0075</f>
        <v>3.7499999999999999E-2</v>
      </c>
    </row>
    <row r="9" spans="1:12">
      <c r="C9" t="s">
        <v>42</v>
      </c>
      <c r="D9">
        <v>2.1999999999999999E-2</v>
      </c>
    </row>
    <row r="11" spans="1:12">
      <c r="B11" t="s">
        <v>43</v>
      </c>
    </row>
    <row r="12" spans="1:12">
      <c r="C12" t="s">
        <v>44</v>
      </c>
      <c r="K12" s="2">
        <v>100000000</v>
      </c>
      <c r="L12" t="s">
        <v>45</v>
      </c>
    </row>
    <row r="13" spans="1:12">
      <c r="C13" t="s">
        <v>46</v>
      </c>
      <c r="D13" t="s">
        <v>47</v>
      </c>
    </row>
    <row r="14" spans="1:12">
      <c r="D14" t="s">
        <v>48</v>
      </c>
    </row>
    <row r="17" spans="3:4">
      <c r="C17" t="s">
        <v>49</v>
      </c>
    </row>
    <row r="19" spans="3:4">
      <c r="C19" t="s">
        <v>50</v>
      </c>
    </row>
    <row r="21" spans="3:4">
      <c r="D21" t="s">
        <v>51</v>
      </c>
    </row>
    <row r="22" spans="3:4">
      <c r="D22" t="s">
        <v>52</v>
      </c>
    </row>
    <row r="23" spans="3:4">
      <c r="D23" t="s">
        <v>53</v>
      </c>
    </row>
    <row r="24" spans="3:4">
      <c r="D24" t="s">
        <v>57</v>
      </c>
    </row>
    <row r="25" spans="3:4">
      <c r="D25" t="s">
        <v>58</v>
      </c>
    </row>
    <row r="26" spans="3:4">
      <c r="D26" t="s">
        <v>54</v>
      </c>
    </row>
    <row r="27" spans="3:4">
      <c r="D27" t="s">
        <v>55</v>
      </c>
    </row>
    <row r="28" spans="3:4">
      <c r="D28" s="4" t="s">
        <v>56</v>
      </c>
    </row>
    <row r="31" spans="3:4">
      <c r="C31" t="s">
        <v>59</v>
      </c>
    </row>
    <row r="32" spans="3:4">
      <c r="D32" t="s">
        <v>60</v>
      </c>
    </row>
    <row r="33" spans="2:6">
      <c r="D33" t="s">
        <v>61</v>
      </c>
    </row>
    <row r="34" spans="2:6">
      <c r="D34" t="s">
        <v>62</v>
      </c>
    </row>
    <row r="35" spans="2:6">
      <c r="D35" t="s">
        <v>77</v>
      </c>
      <c r="E35">
        <v>0.09</v>
      </c>
    </row>
    <row r="36" spans="2:6">
      <c r="C36" t="s">
        <v>63</v>
      </c>
    </row>
    <row r="37" spans="2:6">
      <c r="B37" t="s">
        <v>64</v>
      </c>
      <c r="C37">
        <v>0</v>
      </c>
      <c r="D37">
        <v>0.25</v>
      </c>
      <c r="E37">
        <v>0.5</v>
      </c>
      <c r="F37">
        <v>0.75</v>
      </c>
    </row>
    <row r="38" spans="2:6">
      <c r="B38" t="s">
        <v>22</v>
      </c>
      <c r="C38">
        <f>D9</f>
        <v>2.1999999999999999E-2</v>
      </c>
      <c r="D38">
        <v>1.7000000000000001E-2</v>
      </c>
      <c r="E38">
        <v>0.03</v>
      </c>
      <c r="F38">
        <v>0.08</v>
      </c>
    </row>
    <row r="39" spans="2:6">
      <c r="B39" t="s">
        <v>71</v>
      </c>
      <c r="C39">
        <f>D5</f>
        <v>0.02</v>
      </c>
      <c r="D39">
        <v>1.4999999999999999E-2</v>
      </c>
      <c r="E39">
        <v>0.01</v>
      </c>
      <c r="F39">
        <v>4.0000000000000001E-3</v>
      </c>
    </row>
    <row r="40" spans="2:6">
      <c r="B40" t="s">
        <v>72</v>
      </c>
      <c r="C40">
        <v>100</v>
      </c>
      <c r="D40">
        <v>103</v>
      </c>
      <c r="E40">
        <v>104.29</v>
      </c>
      <c r="F40">
        <v>112.4</v>
      </c>
    </row>
    <row r="41" spans="2:6">
      <c r="B41" t="s">
        <v>73</v>
      </c>
      <c r="C41">
        <v>0</v>
      </c>
      <c r="D41">
        <v>3</v>
      </c>
      <c r="E41">
        <v>2</v>
      </c>
      <c r="F41">
        <v>8</v>
      </c>
    </row>
    <row r="43" spans="2:6">
      <c r="B43" t="s">
        <v>65</v>
      </c>
      <c r="C43" s="2">
        <f>K12</f>
        <v>100000000</v>
      </c>
      <c r="D43" s="2">
        <f>C43*D40/100</f>
        <v>103000000</v>
      </c>
      <c r="E43" s="2">
        <f>C43*E40/100</f>
        <v>104290000</v>
      </c>
      <c r="F43" s="2">
        <f>C43*F40/100</f>
        <v>112400000</v>
      </c>
    </row>
    <row r="44" spans="2:6">
      <c r="B44" t="s">
        <v>66</v>
      </c>
      <c r="C44" s="2">
        <f>-K12</f>
        <v>-100000000</v>
      </c>
      <c r="D44" s="2">
        <f>-D43</f>
        <v>-103000000</v>
      </c>
      <c r="E44" s="2">
        <f>-E43</f>
        <v>-104290000</v>
      </c>
      <c r="F44" s="2">
        <f>-F43</f>
        <v>-112400000</v>
      </c>
    </row>
    <row r="45" spans="2:6">
      <c r="B45" t="s">
        <v>78</v>
      </c>
      <c r="C45" s="2">
        <v>0</v>
      </c>
      <c r="D45" s="2">
        <f>D44-C44</f>
        <v>-3000000</v>
      </c>
      <c r="E45" s="2">
        <f>E44-C44</f>
        <v>-4290000</v>
      </c>
      <c r="F45" s="2">
        <f>F44-C44</f>
        <v>-12400000</v>
      </c>
    </row>
    <row r="46" spans="2:6">
      <c r="B46" t="s">
        <v>5</v>
      </c>
      <c r="C46" s="2"/>
    </row>
    <row r="47" spans="2:6">
      <c r="B47" t="s">
        <v>75</v>
      </c>
      <c r="C47" s="2">
        <v>0</v>
      </c>
      <c r="D47">
        <v>0</v>
      </c>
      <c r="E47" s="2">
        <f>-F4/2*K12</f>
        <v>-1500000</v>
      </c>
      <c r="F47">
        <v>0</v>
      </c>
    </row>
    <row r="48" spans="2:6">
      <c r="B48" t="s">
        <v>79</v>
      </c>
      <c r="C48" s="2">
        <v>0</v>
      </c>
      <c r="D48" s="2">
        <f>D44-C44</f>
        <v>-3000000</v>
      </c>
      <c r="E48" s="2">
        <f>E45-D45</f>
        <v>-1290000</v>
      </c>
      <c r="F48" s="2">
        <f>F45-E45</f>
        <v>-8110000</v>
      </c>
    </row>
    <row r="49" spans="1:6">
      <c r="B49" t="s">
        <v>67</v>
      </c>
    </row>
    <row r="50" spans="1:6">
      <c r="B50" t="s">
        <v>74</v>
      </c>
      <c r="C50">
        <v>0</v>
      </c>
      <c r="D50">
        <f>MIN(0,D41)/100*$C$43</f>
        <v>0</v>
      </c>
      <c r="E50">
        <f>MIN(0,E41)/100*$C$43</f>
        <v>0</v>
      </c>
      <c r="F50">
        <f>MIN(0,F41)/100*$C$43</f>
        <v>0</v>
      </c>
    </row>
    <row r="51" spans="1:6">
      <c r="B51" t="s">
        <v>68</v>
      </c>
      <c r="C51">
        <v>0</v>
      </c>
      <c r="D51">
        <v>0</v>
      </c>
      <c r="E51" s="2">
        <f>G8/2*C43</f>
        <v>1875000</v>
      </c>
      <c r="F51">
        <v>0</v>
      </c>
    </row>
    <row r="52" spans="1:6">
      <c r="B52" t="s">
        <v>69</v>
      </c>
      <c r="C52">
        <v>0</v>
      </c>
      <c r="D52" s="2">
        <f>-C38/4*$K$12</f>
        <v>-550000</v>
      </c>
      <c r="E52" s="2">
        <f>-D38/4*$K$12</f>
        <v>-425000.00000000006</v>
      </c>
      <c r="F52" s="2">
        <f>-E38*C43/4</f>
        <v>-750000</v>
      </c>
    </row>
    <row r="54" spans="1:6">
      <c r="B54" t="s">
        <v>70</v>
      </c>
      <c r="C54" s="2">
        <f>C48+C50+C51+C52</f>
        <v>0</v>
      </c>
      <c r="D54" s="2">
        <f>D48+D50+D51+D52</f>
        <v>-3550000</v>
      </c>
      <c r="E54" s="2">
        <f>E48+E50+E51+E52</f>
        <v>159999.99999999994</v>
      </c>
      <c r="F54" s="2">
        <f>F48+F50+F51+F52</f>
        <v>-8860000</v>
      </c>
    </row>
    <row r="55" spans="1:6">
      <c r="B55" t="s">
        <v>76</v>
      </c>
      <c r="E55" s="2">
        <f>(EXP(0.25*$E$35)-1)*D45</f>
        <v>-68265.102493338054</v>
      </c>
      <c r="F55" s="2">
        <f>(EXP(0.25*$E$35)-1)*E45</f>
        <v>-97619.096565473417</v>
      </c>
    </row>
    <row r="57" spans="1:6">
      <c r="B57" t="s">
        <v>80</v>
      </c>
    </row>
    <row r="60" spans="1:6">
      <c r="A60" t="s">
        <v>113</v>
      </c>
    </row>
    <row r="61" spans="1:6">
      <c r="A61" t="s">
        <v>114</v>
      </c>
    </row>
    <row r="62" spans="1:6">
      <c r="A62" t="s">
        <v>115</v>
      </c>
    </row>
    <row r="63" spans="1:6">
      <c r="A63" t="s">
        <v>116</v>
      </c>
    </row>
    <row r="65" spans="1:5">
      <c r="A65" t="s">
        <v>117</v>
      </c>
    </row>
    <row r="66" spans="1:5">
      <c r="A66" t="s">
        <v>118</v>
      </c>
    </row>
    <row r="68" spans="1:5">
      <c r="A68" t="s">
        <v>119</v>
      </c>
    </row>
    <row r="69" spans="1:5">
      <c r="B69" t="s">
        <v>120</v>
      </c>
      <c r="E69">
        <v>0.03</v>
      </c>
    </row>
    <row r="70" spans="1:5">
      <c r="B70" t="s">
        <v>121</v>
      </c>
      <c r="E70">
        <v>2.7E-2</v>
      </c>
    </row>
    <row r="72" spans="1:5">
      <c r="B72" t="s">
        <v>122</v>
      </c>
    </row>
    <row r="73" spans="1:5">
      <c r="B73" t="s">
        <v>141</v>
      </c>
    </row>
    <row r="74" spans="1:5">
      <c r="B74" t="s">
        <v>123</v>
      </c>
    </row>
    <row r="75" spans="1:5">
      <c r="B75" t="s">
        <v>124</v>
      </c>
    </row>
    <row r="76" spans="1:5">
      <c r="C76" t="s">
        <v>125</v>
      </c>
    </row>
    <row r="77" spans="1:5">
      <c r="C77" t="s">
        <v>126</v>
      </c>
    </row>
    <row r="78" spans="1:5">
      <c r="C78" t="s">
        <v>127</v>
      </c>
    </row>
    <row r="79" spans="1:5">
      <c r="C79" t="s">
        <v>128</v>
      </c>
    </row>
    <row r="81" spans="1:4">
      <c r="C81" t="s">
        <v>129</v>
      </c>
    </row>
    <row r="82" spans="1:4">
      <c r="D82" t="s">
        <v>130</v>
      </c>
    </row>
    <row r="83" spans="1:4">
      <c r="D83" t="s">
        <v>140</v>
      </c>
    </row>
    <row r="86" spans="1:4">
      <c r="A86" t="s">
        <v>139</v>
      </c>
    </row>
    <row r="87" spans="1:4">
      <c r="B87" t="s">
        <v>142</v>
      </c>
    </row>
    <row r="89" spans="1:4">
      <c r="B89" t="s">
        <v>131</v>
      </c>
    </row>
    <row r="90" spans="1:4">
      <c r="B90" t="s">
        <v>133</v>
      </c>
    </row>
    <row r="91" spans="1:4">
      <c r="B91" t="s">
        <v>132</v>
      </c>
    </row>
    <row r="92" spans="1:4">
      <c r="B92" t="s">
        <v>134</v>
      </c>
    </row>
    <row r="93" spans="1:4">
      <c r="B93" t="s">
        <v>135</v>
      </c>
    </row>
    <row r="94" spans="1:4">
      <c r="B94" t="s">
        <v>136</v>
      </c>
    </row>
    <row r="95" spans="1:4">
      <c r="B95" t="s">
        <v>137</v>
      </c>
    </row>
    <row r="96" spans="1:4">
      <c r="B96" t="s">
        <v>138</v>
      </c>
    </row>
    <row r="97" spans="2:2">
      <c r="B97"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F73D-B815-7043-8515-75A354EBAA38}">
  <dimension ref="B3:L21"/>
  <sheetViews>
    <sheetView workbookViewId="0">
      <selection activeCell="A6" sqref="A6"/>
    </sheetView>
  </sheetViews>
  <sheetFormatPr baseColWidth="10" defaultRowHeight="16"/>
  <sheetData>
    <row r="3" spans="2:12">
      <c r="C3">
        <v>0.25</v>
      </c>
      <c r="D3">
        <v>0.75</v>
      </c>
      <c r="E3">
        <v>1.25</v>
      </c>
      <c r="F3">
        <v>1.75</v>
      </c>
      <c r="G3">
        <v>2.25</v>
      </c>
      <c r="H3">
        <v>2.75</v>
      </c>
      <c r="I3">
        <v>3.25</v>
      </c>
      <c r="J3">
        <v>3.75</v>
      </c>
      <c r="K3">
        <v>4.25</v>
      </c>
      <c r="L3">
        <v>4.75</v>
      </c>
    </row>
    <row r="4" spans="2:12">
      <c r="C4">
        <v>1.5</v>
      </c>
      <c r="D4">
        <v>1.5</v>
      </c>
      <c r="E4">
        <v>1.5</v>
      </c>
      <c r="F4">
        <v>1.5</v>
      </c>
      <c r="G4">
        <v>1.5</v>
      </c>
      <c r="H4">
        <v>1.5</v>
      </c>
      <c r="I4">
        <v>1.5</v>
      </c>
      <c r="J4">
        <v>1.5</v>
      </c>
      <c r="K4">
        <v>1.5</v>
      </c>
      <c r="L4">
        <v>101.5</v>
      </c>
    </row>
    <row r="5" spans="2:12">
      <c r="C5">
        <f t="shared" ref="C5:L5" si="0">1/(1+0.025/2)^(2*C3)</f>
        <v>0.9938079899999066</v>
      </c>
      <c r="D5">
        <f t="shared" si="0"/>
        <v>0.98153875555546322</v>
      </c>
      <c r="E5">
        <f t="shared" si="0"/>
        <v>0.96942099314119834</v>
      </c>
      <c r="F5">
        <f t="shared" si="0"/>
        <v>0.95745283273204784</v>
      </c>
      <c r="G5">
        <f t="shared" si="0"/>
        <v>0.94563242738967679</v>
      </c>
      <c r="H5">
        <f t="shared" si="0"/>
        <v>0.93395795297745876</v>
      </c>
      <c r="I5">
        <f t="shared" si="0"/>
        <v>0.9224276078789716</v>
      </c>
      <c r="J5">
        <f t="shared" si="0"/>
        <v>0.91103961271997203</v>
      </c>
      <c r="K5">
        <f t="shared" si="0"/>
        <v>0.8997922100937995</v>
      </c>
      <c r="L5">
        <f t="shared" si="0"/>
        <v>0.88868366429017243</v>
      </c>
    </row>
    <row r="6" spans="2:12">
      <c r="C6">
        <f t="shared" ref="C6:L6" si="1">C4*C5</f>
        <v>1.49071198499986</v>
      </c>
      <c r="D6">
        <f t="shared" si="1"/>
        <v>1.4723081333331949</v>
      </c>
      <c r="E6">
        <f t="shared" si="1"/>
        <v>1.4541314897117976</v>
      </c>
      <c r="F6">
        <f t="shared" si="1"/>
        <v>1.4361792490980718</v>
      </c>
      <c r="G6">
        <f t="shared" si="1"/>
        <v>1.4184486410845152</v>
      </c>
      <c r="H6">
        <f t="shared" si="1"/>
        <v>1.4009369294661882</v>
      </c>
      <c r="I6">
        <f t="shared" si="1"/>
        <v>1.3836414118184575</v>
      </c>
      <c r="J6">
        <f t="shared" si="1"/>
        <v>1.3665594190799579</v>
      </c>
      <c r="K6">
        <f t="shared" si="1"/>
        <v>1.3496883151406993</v>
      </c>
      <c r="L6">
        <f t="shared" si="1"/>
        <v>90.201391925452498</v>
      </c>
    </row>
    <row r="7" spans="2:12">
      <c r="B7">
        <f>SUM(C6:L6)</f>
        <v>102.97399749918524</v>
      </c>
    </row>
    <row r="10" spans="2:12">
      <c r="C10">
        <v>0.5</v>
      </c>
      <c r="D10">
        <v>1</v>
      </c>
      <c r="E10">
        <v>1.5</v>
      </c>
      <c r="F10">
        <v>2</v>
      </c>
      <c r="G10">
        <v>2.5</v>
      </c>
      <c r="H10">
        <v>3</v>
      </c>
      <c r="I10">
        <v>3.5</v>
      </c>
      <c r="J10">
        <v>4</v>
      </c>
      <c r="K10">
        <v>4.5</v>
      </c>
    </row>
    <row r="11" spans="2:12">
      <c r="C11">
        <v>1.5</v>
      </c>
      <c r="D11">
        <v>1.5</v>
      </c>
      <c r="E11">
        <v>1.5</v>
      </c>
      <c r="F11">
        <v>1.5</v>
      </c>
      <c r="G11">
        <v>1.5</v>
      </c>
      <c r="H11">
        <v>1.5</v>
      </c>
      <c r="I11">
        <v>1.5</v>
      </c>
      <c r="J11">
        <v>1.5</v>
      </c>
      <c r="K11">
        <v>101.5</v>
      </c>
    </row>
    <row r="12" spans="2:12">
      <c r="C12">
        <f>1/(1+0.02/2)^(2*C10)</f>
        <v>0.99009900990099009</v>
      </c>
      <c r="D12">
        <f t="shared" ref="D12:K12" si="2">1/(1+0.02/2)^(2*D10)</f>
        <v>0.98029604940692083</v>
      </c>
      <c r="E12">
        <f t="shared" si="2"/>
        <v>0.97059014792764453</v>
      </c>
      <c r="F12">
        <f t="shared" si="2"/>
        <v>0.96098034448281622</v>
      </c>
      <c r="G12">
        <f t="shared" si="2"/>
        <v>0.95146568760674888</v>
      </c>
      <c r="H12">
        <f t="shared" si="2"/>
        <v>0.94204523525420658</v>
      </c>
      <c r="I12">
        <f t="shared" si="2"/>
        <v>0.93271805470713554</v>
      </c>
      <c r="J12">
        <f t="shared" si="2"/>
        <v>0.92348322248231218</v>
      </c>
      <c r="K12">
        <f t="shared" si="2"/>
        <v>0.91433982423991289</v>
      </c>
    </row>
    <row r="13" spans="2:12">
      <c r="C13">
        <f t="shared" ref="C13:K13" si="3">C11*C12</f>
        <v>1.4851485148514851</v>
      </c>
      <c r="D13">
        <f t="shared" si="3"/>
        <v>1.4704440741103812</v>
      </c>
      <c r="E13">
        <f t="shared" si="3"/>
        <v>1.4558852218914669</v>
      </c>
      <c r="F13">
        <f t="shared" si="3"/>
        <v>1.4414705167242243</v>
      </c>
      <c r="G13">
        <f t="shared" si="3"/>
        <v>1.4271985314101232</v>
      </c>
      <c r="H13">
        <f t="shared" si="3"/>
        <v>1.4130678528813099</v>
      </c>
      <c r="I13">
        <f t="shared" si="3"/>
        <v>1.3990770820607032</v>
      </c>
      <c r="J13">
        <f t="shared" si="3"/>
        <v>1.3852248337234683</v>
      </c>
      <c r="K13">
        <f t="shared" si="3"/>
        <v>92.805492160351164</v>
      </c>
    </row>
    <row r="14" spans="2:12">
      <c r="B14">
        <f>SUM(C13:K13)</f>
        <v>104.28300878800432</v>
      </c>
    </row>
    <row r="17" spans="2:11">
      <c r="C17">
        <v>0.25</v>
      </c>
      <c r="D17">
        <v>0.75</v>
      </c>
      <c r="E17">
        <v>1.25</v>
      </c>
      <c r="F17">
        <v>1.75</v>
      </c>
      <c r="G17">
        <v>2.25</v>
      </c>
      <c r="H17">
        <v>2.75</v>
      </c>
      <c r="I17">
        <v>3.25</v>
      </c>
      <c r="J17">
        <v>3.75</v>
      </c>
      <c r="K17">
        <v>4.25</v>
      </c>
    </row>
    <row r="18" spans="2:11">
      <c r="C18">
        <v>1.5</v>
      </c>
      <c r="D18">
        <v>1.5</v>
      </c>
      <c r="E18">
        <v>1.5</v>
      </c>
      <c r="F18">
        <v>1.5</v>
      </c>
      <c r="G18">
        <v>1.5</v>
      </c>
      <c r="H18">
        <v>1.5</v>
      </c>
      <c r="I18">
        <v>1.5</v>
      </c>
      <c r="J18">
        <v>1.5</v>
      </c>
      <c r="K18">
        <v>101.5</v>
      </c>
    </row>
    <row r="19" spans="2:11">
      <c r="C19">
        <f>1/(1+0.0025/2)^(2*C17)</f>
        <v>0.99937558532781523</v>
      </c>
      <c r="D19">
        <f t="shared" ref="D19:K19" si="4">1/(1+0.0025/2)^(2*D17)</f>
        <v>0.99812792542103901</v>
      </c>
      <c r="E19">
        <f t="shared" si="4"/>
        <v>0.99688182314211127</v>
      </c>
      <c r="F19">
        <f t="shared" si="4"/>
        <v>0.99563727654642831</v>
      </c>
      <c r="G19">
        <f t="shared" si="4"/>
        <v>0.99439428369181349</v>
      </c>
      <c r="H19">
        <f t="shared" si="4"/>
        <v>0.99315284263851555</v>
      </c>
      <c r="I19">
        <f t="shared" si="4"/>
        <v>0.99191295144920411</v>
      </c>
      <c r="J19">
        <f t="shared" si="4"/>
        <v>0.9906746081889678</v>
      </c>
      <c r="K19">
        <f t="shared" si="4"/>
        <v>0.98943781092531125</v>
      </c>
    </row>
    <row r="20" spans="2:11">
      <c r="C20">
        <f t="shared" ref="C20:K20" si="5">C18*C19</f>
        <v>1.4990633779917228</v>
      </c>
      <c r="D20">
        <f t="shared" si="5"/>
        <v>1.4971918881315585</v>
      </c>
      <c r="E20">
        <f t="shared" si="5"/>
        <v>1.495322734713167</v>
      </c>
      <c r="F20">
        <f t="shared" si="5"/>
        <v>1.4934559148196425</v>
      </c>
      <c r="G20">
        <f t="shared" si="5"/>
        <v>1.4915914255377203</v>
      </c>
      <c r="H20">
        <f t="shared" si="5"/>
        <v>1.4897292639577733</v>
      </c>
      <c r="I20">
        <f t="shared" si="5"/>
        <v>1.4878694271738062</v>
      </c>
      <c r="J20">
        <f t="shared" si="5"/>
        <v>1.4860119122834516</v>
      </c>
      <c r="K20">
        <f t="shared" si="5"/>
        <v>100.4279378089191</v>
      </c>
    </row>
    <row r="21" spans="2:11">
      <c r="B21">
        <f>SUM(C20:K20)</f>
        <v>112.36817375352794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Rlzd Cash Flows</vt:lpstr>
      <vt:lpstr>Floater</vt:lpstr>
      <vt:lpstr>Convg1</vt:lpstr>
      <vt:lpstr>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2019-10-05T16:10:47Z</dcterms:created>
  <dcterms:modified xsi:type="dcterms:W3CDTF">2019-10-10T05:12:38Z</dcterms:modified>
</cp:coreProperties>
</file>