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lap/classes/542/2019/PS/"/>
    </mc:Choice>
  </mc:AlternateContent>
  <xr:revisionPtr revIDLastSave="0" documentId="13_ncr:1_{FF9E4D5A-55D4-C842-BD70-803C11093FAB}" xr6:coauthVersionLast="45" xr6:coauthVersionMax="45" xr10:uidLastSave="{00000000-0000-0000-0000-000000000000}"/>
  <bookViews>
    <workbookView xWindow="4000" yWindow="460" windowWidth="24800" windowHeight="15760" tabRatio="500" activeTab="1" xr2:uid="{00000000-000D-0000-FFFF-FFFF00000000}"/>
  </bookViews>
  <sheets>
    <sheet name="1 period" sheetId="2" r:id="rId1"/>
    <sheet name="2 period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9" i="1" l="1"/>
  <c r="D125" i="1"/>
  <c r="D63" i="1"/>
  <c r="D103" i="1" l="1"/>
  <c r="D89" i="1"/>
  <c r="D85" i="1"/>
  <c r="D94" i="1"/>
  <c r="D87" i="1"/>
  <c r="D123" i="1" l="1"/>
  <c r="D130" i="1" s="1"/>
  <c r="D104" i="2"/>
  <c r="C97" i="2"/>
  <c r="E92" i="2"/>
  <c r="F79" i="2"/>
  <c r="D74" i="2"/>
  <c r="C67" i="2"/>
  <c r="D58" i="2"/>
  <c r="C54" i="2"/>
  <c r="F50" i="2"/>
  <c r="B68" i="2" s="1"/>
  <c r="D46" i="2"/>
  <c r="E41" i="2"/>
  <c r="F30" i="2"/>
  <c r="D39" i="2" s="1"/>
  <c r="D25" i="2"/>
  <c r="D15" i="2"/>
  <c r="F7" i="2"/>
  <c r="D17" i="2" s="1"/>
  <c r="D144" i="1"/>
  <c r="D137" i="1"/>
  <c r="C137" i="1"/>
  <c r="E132" i="1"/>
  <c r="F113" i="1"/>
  <c r="D108" i="1"/>
  <c r="D101" i="1"/>
  <c r="C101" i="1"/>
  <c r="D92" i="1"/>
  <c r="C80" i="1"/>
  <c r="F76" i="1"/>
  <c r="D82" i="1" s="1"/>
  <c r="D47" i="1"/>
  <c r="D69" i="1"/>
  <c r="D61" i="1"/>
  <c r="C61" i="1"/>
  <c r="E56" i="1"/>
  <c r="D48" i="1"/>
  <c r="D54" i="1" s="1"/>
  <c r="F40" i="1"/>
  <c r="D49" i="1" s="1"/>
  <c r="C62" i="1" s="1"/>
  <c r="D35" i="1"/>
  <c r="D27" i="1"/>
  <c r="C27" i="1"/>
  <c r="D23" i="1"/>
  <c r="D22" i="1"/>
  <c r="D24" i="1" s="1"/>
  <c r="D28" i="1" s="1"/>
  <c r="D20" i="1"/>
  <c r="D16" i="1"/>
  <c r="F7" i="1"/>
  <c r="D15" i="1" s="1"/>
  <c r="D36" i="1" s="1"/>
  <c r="D131" i="1" l="1"/>
  <c r="D134" i="1" s="1"/>
  <c r="D138" i="1" s="1"/>
  <c r="D40" i="2"/>
  <c r="D47" i="2" s="1"/>
  <c r="D70" i="1"/>
  <c r="D19" i="2"/>
  <c r="D21" i="2" s="1"/>
  <c r="C24" i="2" s="1"/>
  <c r="D26" i="2"/>
  <c r="C69" i="2"/>
  <c r="D76" i="2" s="1"/>
  <c r="D29" i="1"/>
  <c r="D37" i="1" s="1"/>
  <c r="C34" i="1" s="1"/>
  <c r="F118" i="1"/>
  <c r="D58" i="1"/>
  <c r="D62" i="1" s="1"/>
  <c r="D65" i="1" s="1"/>
  <c r="D55" i="1"/>
  <c r="D71" i="1"/>
  <c r="B118" i="1"/>
  <c r="E17" i="1"/>
  <c r="C28" i="1" s="1"/>
  <c r="D60" i="2"/>
  <c r="D75" i="2" s="1"/>
  <c r="B102" i="1"/>
  <c r="B84" i="2"/>
  <c r="B98" i="2" s="1"/>
  <c r="C99" i="2" s="1"/>
  <c r="D106" i="2" s="1"/>
  <c r="C81" i="1"/>
  <c r="C68" i="1" l="1"/>
  <c r="B138" i="1"/>
  <c r="D62" i="2"/>
  <c r="D64" i="2" s="1"/>
  <c r="C68" i="2" s="1"/>
  <c r="C70" i="2" s="1"/>
  <c r="D90" i="2"/>
  <c r="D122" i="1"/>
  <c r="D145" i="1" s="1"/>
  <c r="D124" i="1"/>
  <c r="C138" i="1" s="1"/>
  <c r="D96" i="1"/>
  <c r="D98" i="1" s="1"/>
  <c r="D102" i="1" s="1"/>
  <c r="D86" i="1"/>
  <c r="C103" i="1"/>
  <c r="C73" i="2"/>
  <c r="D31" i="1"/>
  <c r="D43" i="2"/>
  <c r="D88" i="1" l="1"/>
  <c r="C102" i="1" s="1"/>
  <c r="D109" i="1"/>
  <c r="D91" i="2"/>
  <c r="D105" i="2" s="1"/>
  <c r="C103" i="2" s="1"/>
  <c r="C139" i="1"/>
  <c r="D146" i="1" l="1"/>
  <c r="C143" i="1" s="1"/>
  <c r="D110" i="1"/>
  <c r="D140" i="1"/>
  <c r="D94" i="2"/>
  <c r="C98" i="2" s="1"/>
  <c r="C100" i="2" s="1"/>
  <c r="C107" i="1"/>
  <c r="D104" i="1" l="1"/>
</calcChain>
</file>

<file path=xl/sharedStrings.xml><?xml version="1.0" encoding="utf-8"?>
<sst xmlns="http://schemas.openxmlformats.org/spreadsheetml/2006/main" count="232" uniqueCount="121">
  <si>
    <t>On July 14</t>
    <phoneticPr fontId="1" type="noConversion"/>
  </si>
  <si>
    <t>repo:</t>
    <phoneticPr fontId="1" type="noConversion"/>
  </si>
  <si>
    <t>sell the STRIPS to settle on July 15:</t>
    <phoneticPr fontId="1" type="noConversion"/>
  </si>
  <si>
    <t>Cash from sale:</t>
    <phoneticPr fontId="1" type="noConversion"/>
  </si>
  <si>
    <t>Close Repo:</t>
    <phoneticPr fontId="1" type="noConversion"/>
  </si>
  <si>
    <t xml:space="preserve">   Interest Expense:</t>
    <phoneticPr fontId="1" type="noConversion"/>
  </si>
  <si>
    <t xml:space="preserve">   Principal</t>
    <phoneticPr fontId="1" type="noConversion"/>
  </si>
  <si>
    <t>Net cash flow on 7/15/20:</t>
    <phoneticPr fontId="1" type="noConversion"/>
  </si>
  <si>
    <t>Time Line:</t>
    <phoneticPr fontId="1" type="noConversion"/>
  </si>
  <si>
    <t>3) Long --2% haircut, no roll.</t>
    <phoneticPr fontId="1" type="noConversion"/>
  </si>
  <si>
    <t>Haircut:</t>
    <phoneticPr fontId="1" type="noConversion"/>
  </si>
  <si>
    <t>Today:  Thursday, May 14, 2020.</t>
    <phoneticPr fontId="1" type="noConversion"/>
  </si>
  <si>
    <t>Nov 15 2027 STRIPS</t>
    <phoneticPr fontId="1" type="noConversion"/>
  </si>
  <si>
    <t>Bid</t>
    <phoneticPr fontId="1" type="noConversion"/>
  </si>
  <si>
    <t>Ask</t>
    <phoneticPr fontId="1" type="noConversion"/>
  </si>
  <si>
    <t>1-month repo</t>
    <phoneticPr fontId="1" type="noConversion"/>
  </si>
  <si>
    <t>Buy</t>
    <phoneticPr fontId="1" type="noConversion"/>
  </si>
  <si>
    <t xml:space="preserve"> par value:</t>
    <phoneticPr fontId="1" type="noConversion"/>
  </si>
  <si>
    <t>Cash required for purchase:</t>
    <phoneticPr fontId="1" type="noConversion"/>
  </si>
  <si>
    <t>We roll the position over on Jun 15, 2020.</t>
    <phoneticPr fontId="1" type="noConversion"/>
  </si>
  <si>
    <t>Collect repo interest:</t>
    <phoneticPr fontId="1" type="noConversion"/>
  </si>
  <si>
    <t>Value of collateral:</t>
    <phoneticPr fontId="1" type="noConversion"/>
  </si>
  <si>
    <t>So repo dealer sends us:</t>
    <phoneticPr fontId="1" type="noConversion"/>
  </si>
  <si>
    <t>Buy the STRIPS to settle on 7/15/20:</t>
    <phoneticPr fontId="1" type="noConversion"/>
  </si>
  <si>
    <t>Total cash flow on 7/15/20:</t>
    <phoneticPr fontId="1" type="noConversion"/>
  </si>
  <si>
    <t>1) Long -- 0 haircut</t>
    <phoneticPr fontId="1" type="noConversion"/>
  </si>
  <si>
    <t>2) Short -- 0 haircut</t>
    <phoneticPr fontId="1" type="noConversion"/>
  </si>
  <si>
    <t xml:space="preserve">    Capital gain:</t>
    <phoneticPr fontId="1" type="noConversion"/>
  </si>
  <si>
    <t xml:space="preserve">    Repo Interest Income:</t>
    <phoneticPr fontId="1" type="noConversion"/>
  </si>
  <si>
    <t xml:space="preserve">    Capital Charge:</t>
    <phoneticPr fontId="1" type="noConversion"/>
  </si>
  <si>
    <t>3) Long --2% haircut</t>
    <phoneticPr fontId="1" type="noConversion"/>
  </si>
  <si>
    <t>We roll the position over on Jun 15, 2020.</t>
    <phoneticPr fontId="1" type="noConversion"/>
  </si>
  <si>
    <t>Capital required to maintain trade:</t>
    <phoneticPr fontId="1" type="noConversion"/>
  </si>
  <si>
    <t>Position value:</t>
    <phoneticPr fontId="1" type="noConversion"/>
  </si>
  <si>
    <t>Pay interest on repo:</t>
    <phoneticPr fontId="1" type="noConversion"/>
  </si>
  <si>
    <t>Available financing:</t>
    <phoneticPr fontId="1" type="noConversion"/>
  </si>
  <si>
    <t>Pay repo principal:</t>
    <phoneticPr fontId="1" type="noConversion"/>
  </si>
  <si>
    <t>Chg in Capital:</t>
    <phoneticPr fontId="1" type="noConversion"/>
  </si>
  <si>
    <t xml:space="preserve">  Cash outlay required to maintain the position.</t>
    <phoneticPr fontId="1" type="noConversion"/>
  </si>
  <si>
    <t>When we receive the cash from the repo dealer we remit that to the seller of the STRIPS.</t>
    <phoneticPr fontId="1" type="noConversion"/>
  </si>
  <si>
    <t>At this point we have no capital in the trade and there are 0 cash flows.</t>
    <phoneticPr fontId="1" type="noConversion"/>
  </si>
  <si>
    <t>We close the position to settle on Jun 15, 2020.</t>
    <phoneticPr fontId="1" type="noConversion"/>
  </si>
  <si>
    <t>Sell the securities to settle on 6/15/20:</t>
    <phoneticPr fontId="1" type="noConversion"/>
  </si>
  <si>
    <t>pay the interest expense on repo:</t>
    <phoneticPr fontId="1" type="noConversion"/>
  </si>
  <si>
    <t>Total funds wired to repo dealer:</t>
    <phoneticPr fontId="1" type="noConversion"/>
  </si>
  <si>
    <t>Net cash flow on 6/15/20:</t>
    <phoneticPr fontId="1" type="noConversion"/>
  </si>
  <si>
    <t>P&amp;L Attribution:</t>
    <phoneticPr fontId="1" type="noConversion"/>
  </si>
  <si>
    <t>P&amp;L</t>
    <phoneticPr fontId="1" type="noConversion"/>
  </si>
  <si>
    <t xml:space="preserve">  We receive the funds from the sale, wire the necessary funds to the repo dealer.    The repo dealer then returns the STRIPS, and we forward the STRIPS to the buyer.</t>
    <phoneticPr fontId="1" type="noConversion"/>
  </si>
  <si>
    <t xml:space="preserve">    Capital gain:</t>
    <phoneticPr fontId="1" type="noConversion"/>
  </si>
  <si>
    <t xml:space="preserve">    Interest Income:</t>
    <phoneticPr fontId="1" type="noConversion"/>
  </si>
  <si>
    <t>We roll over on Jun 15, 2020.</t>
    <phoneticPr fontId="1" type="noConversion"/>
  </si>
  <si>
    <t>Collateral value is now:</t>
    <phoneticPr fontId="1" type="noConversion"/>
  </si>
  <si>
    <t>So in order to keep the position we have to send:</t>
    <phoneticPr fontId="1" type="noConversion"/>
  </si>
  <si>
    <t xml:space="preserve">  to the repo dealer.</t>
    <phoneticPr fontId="1" type="noConversion"/>
  </si>
  <si>
    <t>Net cash flow on 7/15/20:</t>
    <phoneticPr fontId="1" type="noConversion"/>
  </si>
  <si>
    <t>Discussion:</t>
    <phoneticPr fontId="1" type="noConversion"/>
  </si>
  <si>
    <t>The capital charge is for 1 month on all of the capital the firm has tied-up in the trade at the beginning of that month.</t>
    <phoneticPr fontId="1" type="noConversion"/>
  </si>
  <si>
    <t>The haircut is not that big of a deal -- in terms of the cash flows, since it is only 2% of the collateral value.</t>
    <phoneticPr fontId="1" type="noConversion"/>
  </si>
  <si>
    <t xml:space="preserve">   Year:</t>
    <phoneticPr fontId="1" type="noConversion"/>
  </si>
  <si>
    <t xml:space="preserve">   CF:</t>
    <phoneticPr fontId="1" type="noConversion"/>
  </si>
  <si>
    <t xml:space="preserve">    capital charge:</t>
    <phoneticPr fontId="1" type="noConversion"/>
  </si>
  <si>
    <t>k</t>
    <phoneticPr fontId="1" type="noConversion"/>
  </si>
  <si>
    <t>Trade P&amp;L:</t>
    <phoneticPr fontId="1" type="noConversion"/>
  </si>
  <si>
    <t>Repo loan balance:</t>
    <phoneticPr fontId="1" type="noConversion"/>
  </si>
  <si>
    <t>When we receive the cash from the repo dealer we remit that to the seller of the STRIPS.  We have to include the haircut as well.</t>
    <phoneticPr fontId="1" type="noConversion"/>
  </si>
  <si>
    <t>Time Line:</t>
    <phoneticPr fontId="1" type="noConversion"/>
  </si>
  <si>
    <t xml:space="preserve">   Year:</t>
    <phoneticPr fontId="1" type="noConversion"/>
  </si>
  <si>
    <t xml:space="preserve">   CF:</t>
    <phoneticPr fontId="1" type="noConversion"/>
  </si>
  <si>
    <t>cost of capital:</t>
    <phoneticPr fontId="1" type="noConversion"/>
  </si>
  <si>
    <t>k:</t>
    <phoneticPr fontId="1" type="noConversion"/>
  </si>
  <si>
    <t xml:space="preserve">    Capital charge:</t>
    <phoneticPr fontId="1" type="noConversion"/>
  </si>
  <si>
    <t>P&amp;L:</t>
    <phoneticPr fontId="1" type="noConversion"/>
  </si>
  <si>
    <t>4) Short -- 2% haircut, no roll.</t>
    <phoneticPr fontId="1" type="noConversion"/>
  </si>
  <si>
    <t>He sends us the STRIPS in return (as collateral).</t>
  </si>
  <si>
    <t>As soon as we receive the cash from the STRIPS sale we forward that to the repo dealer.  We have to add the haircut.</t>
    <phoneticPr fontId="1" type="noConversion"/>
  </si>
  <si>
    <t xml:space="preserve">We send the STRIPS to the buyer.  </t>
    <phoneticPr fontId="1" type="noConversion"/>
  </si>
  <si>
    <t>Haircut:</t>
    <phoneticPr fontId="1" type="noConversion"/>
  </si>
  <si>
    <t xml:space="preserve">    Capital loss:</t>
    <phoneticPr fontId="1" type="noConversion"/>
  </si>
  <si>
    <t xml:space="preserve">    Interest Expense:</t>
    <phoneticPr fontId="1" type="noConversion"/>
  </si>
  <si>
    <t>1) Long -- 0 haircut, no roll.</t>
    <phoneticPr fontId="1" type="noConversion"/>
  </si>
  <si>
    <t>2) Short -- 0 haircut, no roll.</t>
    <phoneticPr fontId="1" type="noConversion"/>
  </si>
  <si>
    <t>Sell</t>
    <phoneticPr fontId="1" type="noConversion"/>
  </si>
  <si>
    <t>Cash received from sale:</t>
    <phoneticPr fontId="1" type="noConversion"/>
  </si>
  <si>
    <t>As soon as we receive the cash from the STRIPS sale we forward that to the repo dealer.  He sends us the STRIPS in return (as collateral).</t>
    <phoneticPr fontId="1" type="noConversion"/>
  </si>
  <si>
    <t>We send the STRIPS to the buyer.  At this point we have no capital in the trade and no (net) cash flows.</t>
    <phoneticPr fontId="1" type="noConversion"/>
  </si>
  <si>
    <t>Buy the STRIPS to settle on 6/15/20:</t>
    <phoneticPr fontId="1" type="noConversion"/>
  </si>
  <si>
    <t xml:space="preserve">Send the STRIPS to the repo dealer.  </t>
    <phoneticPr fontId="1" type="noConversion"/>
  </si>
  <si>
    <t xml:space="preserve">   Repo dealer sends us our loan amount </t>
    <phoneticPr fontId="1" type="noConversion"/>
  </si>
  <si>
    <t xml:space="preserve">  + interest:</t>
    <phoneticPr fontId="1" type="noConversion"/>
  </si>
  <si>
    <t xml:space="preserve"> Send the purchase price to the STRIPS seller:</t>
    <phoneticPr fontId="1" type="noConversion"/>
  </si>
  <si>
    <t>Total cash flow on 6/15/20:</t>
    <phoneticPr fontId="1" type="noConversion"/>
  </si>
  <si>
    <t xml:space="preserve">  This is the P&amp;L from the trade.</t>
    <phoneticPr fontId="1" type="noConversion"/>
  </si>
  <si>
    <t>Attribution:</t>
    <phoneticPr fontId="1" type="noConversion"/>
  </si>
  <si>
    <t>Capital gain:</t>
    <phoneticPr fontId="1" type="noConversion"/>
  </si>
  <si>
    <t>Interest on Repo:</t>
    <phoneticPr fontId="1" type="noConversion"/>
  </si>
  <si>
    <t>The P&amp;L Attribution analysis is also useful as it provides a way to verify the trade P&amp;L, in addition to showing the reasons for the trade's gain/loss.</t>
    <phoneticPr fontId="1" type="noConversion"/>
  </si>
  <si>
    <t xml:space="preserve">It is important to describe the transactions even when there is no firm cash flow involved. </t>
    <phoneticPr fontId="1" type="noConversion"/>
  </si>
  <si>
    <t>On the other hand, having to roll the repo over when the change in the collateral value requires that we post more capital can be a big deal in volatile markets.</t>
    <phoneticPr fontId="1" type="noConversion"/>
  </si>
  <si>
    <t>--We see this in action on the 2 period trade for the long position in this worksheet.</t>
    <phoneticPr fontId="1" type="noConversion"/>
  </si>
  <si>
    <t>The repurchase market is a wholesale finance market.  It is the grease that allows the wheels of finance to turn smoothly.</t>
    <phoneticPr fontId="1" type="noConversion"/>
  </si>
  <si>
    <t xml:space="preserve">    After the global financial crisis regulators have added capital requirements and other costs to repo, so it is functioning less smoothly than before the crisis.</t>
    <phoneticPr fontId="1" type="noConversion"/>
  </si>
  <si>
    <t>As we discussed in class in these examples since interest rates rise over the 2 months, the long position incurs a loss and the short position a gain.</t>
    <phoneticPr fontId="1" type="noConversion"/>
  </si>
  <si>
    <t xml:space="preserve">  --The 2 don't add up to 0 because dealers are making a profit regardless of what happens to interest rates (assuming they maintain a flat inventory).</t>
    <phoneticPr fontId="1" type="noConversion"/>
  </si>
  <si>
    <t>I have probably been a bit sloppy signing the values.  That's why it's important to clearly show the time line of cash flows and capital charges.</t>
    <phoneticPr fontId="1" type="noConversion"/>
  </si>
  <si>
    <t>Once we are wired the STRIPS we forward it to the repo dealer as collateral for a 1-month repo loan.</t>
    <phoneticPr fontId="1" type="noConversion"/>
  </si>
  <si>
    <t xml:space="preserve">Capital Charge </t>
    <phoneticPr fontId="1" type="noConversion"/>
  </si>
  <si>
    <t xml:space="preserve">  (Not a cash outlay)</t>
    <phoneticPr fontId="1" type="noConversion"/>
  </si>
  <si>
    <t>Sell the securities to settle on 7/15/20:</t>
    <phoneticPr fontId="1" type="noConversion"/>
  </si>
  <si>
    <t>We roll over repo on Jun 15, 2020.</t>
    <phoneticPr fontId="1" type="noConversion"/>
  </si>
  <si>
    <t>repo:</t>
  </si>
  <si>
    <t>4) Short -- 2% haircut</t>
    <phoneticPr fontId="1" type="noConversion"/>
  </si>
  <si>
    <t xml:space="preserve">  Amount of cash posted w/repo dealer:</t>
    <phoneticPr fontId="1" type="noConversion"/>
  </si>
  <si>
    <t>We receive interest on cash collateral:</t>
    <phoneticPr fontId="1" type="noConversion"/>
  </si>
  <si>
    <t>Cash required to maintain open repo:</t>
    <phoneticPr fontId="1" type="noConversion"/>
  </si>
  <si>
    <t>Net cash flow:</t>
    <phoneticPr fontId="1" type="noConversion"/>
  </si>
  <si>
    <t>capital charge (non-cash):</t>
    <phoneticPr fontId="1" type="noConversion"/>
  </si>
  <si>
    <t>k</t>
    <phoneticPr fontId="1" type="noConversion"/>
  </si>
  <si>
    <t>Buy the STRIPS to settle on 7/15/20:</t>
    <phoneticPr fontId="1" type="noConversion"/>
  </si>
  <si>
    <t>Total cash flow on 7/15/20:</t>
    <phoneticPr fontId="1" type="noConversion"/>
  </si>
  <si>
    <t xml:space="preserve">    capital charge(-) / return(+):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</si>
</sst>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Verdana"/>
    </font>
    <font>
      <sz val="8"/>
      <name val="Verdana"/>
    </font>
    <font>
      <sz val="14"/>
      <color indexed="33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106"/>
  <sheetViews>
    <sheetView topLeftCell="A50" workbookViewId="0">
      <selection activeCell="E92" sqref="E92"/>
    </sheetView>
  </sheetViews>
  <sheetFormatPr baseColWidth="10" defaultRowHeight="13" x14ac:dyDescent="0.15"/>
  <cols>
    <col min="4" max="4" width="13" customWidth="1"/>
    <col min="5" max="5" width="14.5" style="1" customWidth="1"/>
    <col min="6" max="6" width="10.6640625" style="1"/>
  </cols>
  <sheetData>
    <row r="1" spans="1:6" x14ac:dyDescent="0.15">
      <c r="A1" t="s">
        <v>11</v>
      </c>
      <c r="E1" s="1" t="s">
        <v>13</v>
      </c>
      <c r="F1" s="1" t="s">
        <v>14</v>
      </c>
    </row>
    <row r="2" spans="1:6" x14ac:dyDescent="0.15">
      <c r="C2" t="s">
        <v>12</v>
      </c>
      <c r="E2" s="1">
        <v>79.25</v>
      </c>
      <c r="F2" s="1">
        <v>79.319999999999993</v>
      </c>
    </row>
    <row r="4" spans="1:6" x14ac:dyDescent="0.15">
      <c r="C4" t="s">
        <v>15</v>
      </c>
      <c r="E4" s="2">
        <v>2.2499999999999999E-2</v>
      </c>
      <c r="F4" s="2">
        <v>2.35E-2</v>
      </c>
    </row>
    <row r="6" spans="1:6" s="6" customFormat="1" ht="18" x14ac:dyDescent="0.2">
      <c r="A6" s="6" t="s">
        <v>80</v>
      </c>
      <c r="E6" s="7"/>
      <c r="F6" s="7"/>
    </row>
    <row r="7" spans="1:6" x14ac:dyDescent="0.15">
      <c r="A7" t="s">
        <v>16</v>
      </c>
      <c r="B7" s="3">
        <v>25000000</v>
      </c>
      <c r="C7" t="s">
        <v>17</v>
      </c>
      <c r="D7" t="s">
        <v>18</v>
      </c>
      <c r="F7" s="3">
        <f>F2/100*B7</f>
        <v>19829999.999999996</v>
      </c>
    </row>
    <row r="9" spans="1:6" x14ac:dyDescent="0.15">
      <c r="A9" t="s">
        <v>105</v>
      </c>
    </row>
    <row r="10" spans="1:6" x14ac:dyDescent="0.15">
      <c r="A10" t="s">
        <v>39</v>
      </c>
    </row>
    <row r="11" spans="1:6" x14ac:dyDescent="0.15">
      <c r="A11" t="s">
        <v>40</v>
      </c>
    </row>
    <row r="13" spans="1:6" x14ac:dyDescent="0.15">
      <c r="A13" t="s">
        <v>41</v>
      </c>
      <c r="E13" s="1">
        <v>79</v>
      </c>
      <c r="F13" s="1">
        <v>79.08</v>
      </c>
    </row>
    <row r="15" spans="1:6" x14ac:dyDescent="0.15">
      <c r="A15" t="s">
        <v>42</v>
      </c>
      <c r="D15" s="3">
        <f>E13/100*B7</f>
        <v>19750000</v>
      </c>
    </row>
    <row r="16" spans="1:6" x14ac:dyDescent="0.15">
      <c r="A16" t="s">
        <v>48</v>
      </c>
      <c r="D16" s="3"/>
    </row>
    <row r="17" spans="1:6" x14ac:dyDescent="0.15">
      <c r="A17" t="s">
        <v>43</v>
      </c>
      <c r="D17" s="3">
        <f>F4*(30/360)*F7</f>
        <v>38833.749999999993</v>
      </c>
    </row>
    <row r="19" spans="1:6" x14ac:dyDescent="0.15">
      <c r="A19" t="s">
        <v>44</v>
      </c>
      <c r="D19" s="4">
        <f>D17+F7</f>
        <v>19868833.749999996</v>
      </c>
    </row>
    <row r="21" spans="1:6" x14ac:dyDescent="0.15">
      <c r="A21" t="s">
        <v>45</v>
      </c>
      <c r="D21" s="5">
        <f>D15-D19</f>
        <v>-118833.74999999627</v>
      </c>
    </row>
    <row r="23" spans="1:6" x14ac:dyDescent="0.15">
      <c r="A23" t="s">
        <v>46</v>
      </c>
    </row>
    <row r="24" spans="1:6" x14ac:dyDescent="0.15">
      <c r="B24" t="s">
        <v>47</v>
      </c>
      <c r="C24" s="4">
        <f>D21</f>
        <v>-118833.74999999627</v>
      </c>
    </row>
    <row r="25" spans="1:6" x14ac:dyDescent="0.15">
      <c r="B25" t="s">
        <v>78</v>
      </c>
      <c r="D25" s="5">
        <f>(E13-F2)/100*B7</f>
        <v>-79999.999999998297</v>
      </c>
    </row>
    <row r="26" spans="1:6" x14ac:dyDescent="0.15">
      <c r="B26" t="s">
        <v>79</v>
      </c>
      <c r="D26" s="5">
        <f>-D17</f>
        <v>-38833.749999999993</v>
      </c>
    </row>
    <row r="29" spans="1:6" s="6" customFormat="1" ht="18" x14ac:dyDescent="0.2">
      <c r="A29" s="6" t="s">
        <v>81</v>
      </c>
      <c r="E29" s="7"/>
      <c r="F29" s="7"/>
    </row>
    <row r="30" spans="1:6" x14ac:dyDescent="0.15">
      <c r="A30" t="s">
        <v>82</v>
      </c>
      <c r="B30" s="3">
        <v>25000000</v>
      </c>
      <c r="C30" t="s">
        <v>17</v>
      </c>
      <c r="D30" t="s">
        <v>83</v>
      </c>
      <c r="F30" s="3">
        <f>E2/100*B30</f>
        <v>19812500</v>
      </c>
    </row>
    <row r="32" spans="1:6" x14ac:dyDescent="0.15">
      <c r="A32" t="s">
        <v>84</v>
      </c>
    </row>
    <row r="33" spans="1:5" x14ac:dyDescent="0.15">
      <c r="A33" t="s">
        <v>85</v>
      </c>
    </row>
    <row r="35" spans="1:5" x14ac:dyDescent="0.15">
      <c r="A35" t="s">
        <v>41</v>
      </c>
    </row>
    <row r="37" spans="1:5" x14ac:dyDescent="0.15">
      <c r="A37" t="s">
        <v>86</v>
      </c>
    </row>
    <row r="38" spans="1:5" x14ac:dyDescent="0.15">
      <c r="A38" t="s">
        <v>87</v>
      </c>
    </row>
    <row r="39" spans="1:5" x14ac:dyDescent="0.15">
      <c r="A39" t="s">
        <v>88</v>
      </c>
      <c r="D39" s="4">
        <f>F30</f>
        <v>19812500</v>
      </c>
    </row>
    <row r="40" spans="1:5" x14ac:dyDescent="0.15">
      <c r="C40" s="8" t="s">
        <v>89</v>
      </c>
      <c r="D40" s="4">
        <f>D39*E4*(30/360)</f>
        <v>37148.4375</v>
      </c>
    </row>
    <row r="41" spans="1:5" x14ac:dyDescent="0.15">
      <c r="A41" t="s">
        <v>90</v>
      </c>
      <c r="E41" s="4">
        <f>-B30*F13/100</f>
        <v>-19770000</v>
      </c>
    </row>
    <row r="43" spans="1:5" x14ac:dyDescent="0.15">
      <c r="A43" t="s">
        <v>91</v>
      </c>
      <c r="D43" s="4">
        <f>D39+D40+E41</f>
        <v>79648.4375</v>
      </c>
      <c r="E43" s="9" t="s">
        <v>92</v>
      </c>
    </row>
    <row r="45" spans="1:5" x14ac:dyDescent="0.15">
      <c r="A45" t="s">
        <v>93</v>
      </c>
    </row>
    <row r="46" spans="1:5" x14ac:dyDescent="0.15">
      <c r="B46" t="s">
        <v>94</v>
      </c>
      <c r="D46" s="4">
        <f>B30*(E2-F13)/100</f>
        <v>42500.000000000429</v>
      </c>
    </row>
    <row r="47" spans="1:5" x14ac:dyDescent="0.15">
      <c r="B47" t="s">
        <v>95</v>
      </c>
      <c r="D47" s="4">
        <f>D40</f>
        <v>37148.4375</v>
      </c>
    </row>
    <row r="49" spans="1:8" s="6" customFormat="1" ht="18" x14ac:dyDescent="0.2">
      <c r="A49" s="6" t="s">
        <v>9</v>
      </c>
      <c r="E49" s="7"/>
      <c r="F49" s="7"/>
    </row>
    <row r="50" spans="1:8" x14ac:dyDescent="0.15">
      <c r="A50" t="s">
        <v>16</v>
      </c>
      <c r="B50" s="3">
        <v>25000000</v>
      </c>
      <c r="C50" t="s">
        <v>17</v>
      </c>
      <c r="D50" t="s">
        <v>10</v>
      </c>
      <c r="E50" s="1">
        <v>0.02</v>
      </c>
      <c r="F50" s="3">
        <f>E50*B50*F2/100</f>
        <v>396600</v>
      </c>
      <c r="G50" t="s">
        <v>70</v>
      </c>
      <c r="H50">
        <v>0.09</v>
      </c>
    </row>
    <row r="52" spans="1:8" x14ac:dyDescent="0.15">
      <c r="A52" t="s">
        <v>105</v>
      </c>
    </row>
    <row r="53" spans="1:8" x14ac:dyDescent="0.15">
      <c r="A53" t="s">
        <v>65</v>
      </c>
    </row>
    <row r="54" spans="1:8" x14ac:dyDescent="0.15">
      <c r="A54" t="s">
        <v>64</v>
      </c>
      <c r="C54" s="4">
        <f>B50*F2/100-F50</f>
        <v>19433399.999999996</v>
      </c>
    </row>
    <row r="56" spans="1:8" x14ac:dyDescent="0.15">
      <c r="A56" t="s">
        <v>41</v>
      </c>
      <c r="E56" s="1">
        <v>79</v>
      </c>
      <c r="F56" s="1">
        <v>79.08</v>
      </c>
    </row>
    <row r="58" spans="1:8" x14ac:dyDescent="0.15">
      <c r="A58" t="s">
        <v>42</v>
      </c>
      <c r="D58" s="3">
        <f>E56/100*B50</f>
        <v>19750000</v>
      </c>
    </row>
    <row r="59" spans="1:8" x14ac:dyDescent="0.15">
      <c r="A59" t="s">
        <v>48</v>
      </c>
      <c r="D59" s="3"/>
    </row>
    <row r="60" spans="1:8" x14ac:dyDescent="0.15">
      <c r="A60" t="s">
        <v>43</v>
      </c>
      <c r="D60" s="3">
        <f>F4*(30/360)*C54</f>
        <v>38057.07499999999</v>
      </c>
    </row>
    <row r="62" spans="1:8" x14ac:dyDescent="0.15">
      <c r="A62" t="s">
        <v>44</v>
      </c>
      <c r="D62" s="4">
        <f>C54+D60</f>
        <v>19471457.074999996</v>
      </c>
    </row>
    <row r="64" spans="1:8" x14ac:dyDescent="0.15">
      <c r="A64" t="s">
        <v>45</v>
      </c>
      <c r="D64" s="4">
        <f>D58-D62</f>
        <v>278542.92500000447</v>
      </c>
    </row>
    <row r="66" spans="1:9" x14ac:dyDescent="0.15">
      <c r="A66" t="s">
        <v>66</v>
      </c>
    </row>
    <row r="67" spans="1:9" x14ac:dyDescent="0.15">
      <c r="A67" t="s">
        <v>67</v>
      </c>
      <c r="B67" s="1">
        <v>0</v>
      </c>
      <c r="C67" s="1">
        <f>1/12</f>
        <v>8.3333333333333329E-2</v>
      </c>
    </row>
    <row r="68" spans="1:9" x14ac:dyDescent="0.15">
      <c r="A68" t="s">
        <v>68</v>
      </c>
      <c r="B68" s="3">
        <f>-F50</f>
        <v>-396600</v>
      </c>
      <c r="C68" s="3">
        <f>D64</f>
        <v>278542.92500000447</v>
      </c>
    </row>
    <row r="69" spans="1:9" x14ac:dyDescent="0.15">
      <c r="A69" t="s">
        <v>69</v>
      </c>
      <c r="B69" s="1"/>
      <c r="C69" s="3">
        <f>(EXP(C67*H50)-1)*B68</f>
        <v>-2985.6823133021326</v>
      </c>
    </row>
    <row r="70" spans="1:9" x14ac:dyDescent="0.15">
      <c r="A70" t="s">
        <v>72</v>
      </c>
      <c r="B70" s="1"/>
      <c r="C70" s="3">
        <f>B68+C68+C69</f>
        <v>-121042.75731329767</v>
      </c>
    </row>
    <row r="72" spans="1:9" x14ac:dyDescent="0.15">
      <c r="A72" t="s">
        <v>46</v>
      </c>
    </row>
    <row r="73" spans="1:9" x14ac:dyDescent="0.15">
      <c r="B73" t="s">
        <v>47</v>
      </c>
      <c r="C73" s="4">
        <f>SUM(D74:D76)</f>
        <v>-121042.75731330043</v>
      </c>
    </row>
    <row r="74" spans="1:9" x14ac:dyDescent="0.15">
      <c r="B74" t="s">
        <v>78</v>
      </c>
      <c r="D74" s="5">
        <f>(E56-F2)/100*B50</f>
        <v>-79999.999999998297</v>
      </c>
    </row>
    <row r="75" spans="1:9" x14ac:dyDescent="0.15">
      <c r="B75" t="s">
        <v>79</v>
      </c>
      <c r="D75" s="5">
        <f>-D60</f>
        <v>-38057.07499999999</v>
      </c>
    </row>
    <row r="76" spans="1:9" x14ac:dyDescent="0.15">
      <c r="B76" t="s">
        <v>71</v>
      </c>
      <c r="D76" s="4">
        <f>C69</f>
        <v>-2985.6823133021326</v>
      </c>
    </row>
    <row r="77" spans="1:9" x14ac:dyDescent="0.15">
      <c r="D77" s="5"/>
    </row>
    <row r="78" spans="1:9" s="6" customFormat="1" ht="18" x14ac:dyDescent="0.2">
      <c r="A78" s="6" t="s">
        <v>73</v>
      </c>
      <c r="E78" s="7"/>
      <c r="F78" s="7"/>
    </row>
    <row r="79" spans="1:9" x14ac:dyDescent="0.15">
      <c r="A79" t="s">
        <v>82</v>
      </c>
      <c r="B79" s="3">
        <v>25000000</v>
      </c>
      <c r="C79" t="s">
        <v>17</v>
      </c>
      <c r="D79" t="s">
        <v>83</v>
      </c>
      <c r="F79" s="3">
        <f>E2/100*B79</f>
        <v>19812500</v>
      </c>
      <c r="H79" t="s">
        <v>77</v>
      </c>
      <c r="I79">
        <v>0.02</v>
      </c>
    </row>
    <row r="81" spans="1:5" x14ac:dyDescent="0.15">
      <c r="A81" t="s">
        <v>75</v>
      </c>
    </row>
    <row r="82" spans="1:5" x14ac:dyDescent="0.15">
      <c r="A82" t="s">
        <v>74</v>
      </c>
    </row>
    <row r="83" spans="1:5" x14ac:dyDescent="0.15">
      <c r="A83" t="s">
        <v>76</v>
      </c>
    </row>
    <row r="84" spans="1:5" x14ac:dyDescent="0.15">
      <c r="A84" t="s">
        <v>77</v>
      </c>
      <c r="B84" s="3">
        <f>I79*F79</f>
        <v>396250</v>
      </c>
    </row>
    <row r="86" spans="1:5" x14ac:dyDescent="0.15">
      <c r="A86" t="s">
        <v>41</v>
      </c>
    </row>
    <row r="88" spans="1:5" x14ac:dyDescent="0.15">
      <c r="A88" t="s">
        <v>86</v>
      </c>
    </row>
    <row r="89" spans="1:5" x14ac:dyDescent="0.15">
      <c r="A89" t="s">
        <v>87</v>
      </c>
    </row>
    <row r="90" spans="1:5" x14ac:dyDescent="0.15">
      <c r="A90" t="s">
        <v>88</v>
      </c>
      <c r="D90" s="4">
        <f>F79+B84</f>
        <v>20208750</v>
      </c>
    </row>
    <row r="91" spans="1:5" x14ac:dyDescent="0.15">
      <c r="C91" s="8" t="s">
        <v>89</v>
      </c>
      <c r="D91" s="4">
        <f>D90*E4*(30/360)</f>
        <v>37891.40625</v>
      </c>
    </row>
    <row r="92" spans="1:5" x14ac:dyDescent="0.15">
      <c r="A92" t="s">
        <v>90</v>
      </c>
      <c r="E92" s="4">
        <f>-B79*F13/100</f>
        <v>-19770000</v>
      </c>
    </row>
    <row r="94" spans="1:5" x14ac:dyDescent="0.15">
      <c r="A94" t="s">
        <v>91</v>
      </c>
      <c r="D94" s="4">
        <f>D90+D91+E92</f>
        <v>476641.40625</v>
      </c>
      <c r="E94" s="9"/>
    </row>
    <row r="96" spans="1:5" x14ac:dyDescent="0.15">
      <c r="A96" t="s">
        <v>66</v>
      </c>
    </row>
    <row r="97" spans="1:4" x14ac:dyDescent="0.15">
      <c r="A97" t="s">
        <v>67</v>
      </c>
      <c r="B97" s="1">
        <v>0</v>
      </c>
      <c r="C97" s="1">
        <f>1/12</f>
        <v>8.3333333333333329E-2</v>
      </c>
    </row>
    <row r="98" spans="1:4" x14ac:dyDescent="0.15">
      <c r="A98" t="s">
        <v>68</v>
      </c>
      <c r="B98" s="3">
        <f>-B84</f>
        <v>-396250</v>
      </c>
      <c r="C98" s="3">
        <f>D94</f>
        <v>476641.40625</v>
      </c>
    </row>
    <row r="99" spans="1:4" x14ac:dyDescent="0.15">
      <c r="A99" t="s">
        <v>69</v>
      </c>
      <c r="B99" s="1"/>
      <c r="C99" s="3">
        <f>(EXP(C97*H50)-1)*B98</f>
        <v>-2983.0474448965456</v>
      </c>
    </row>
    <row r="100" spans="1:4" x14ac:dyDescent="0.15">
      <c r="A100" t="s">
        <v>72</v>
      </c>
      <c r="B100" s="1"/>
      <c r="C100" s="3">
        <f>B98+C98+C99</f>
        <v>77408.35880510346</v>
      </c>
    </row>
    <row r="101" spans="1:4" x14ac:dyDescent="0.15">
      <c r="B101" s="1"/>
      <c r="C101" s="3"/>
    </row>
    <row r="102" spans="1:4" x14ac:dyDescent="0.15">
      <c r="A102" t="s">
        <v>46</v>
      </c>
    </row>
    <row r="103" spans="1:4" x14ac:dyDescent="0.15">
      <c r="B103" t="s">
        <v>47</v>
      </c>
      <c r="C103" s="4">
        <f>SUM(D104:D106)</f>
        <v>77408.358805103897</v>
      </c>
    </row>
    <row r="104" spans="1:4" x14ac:dyDescent="0.15">
      <c r="B104" t="s">
        <v>49</v>
      </c>
      <c r="D104" s="4">
        <f>(E2-F13)/100*B79</f>
        <v>42500.000000000429</v>
      </c>
    </row>
    <row r="105" spans="1:4" x14ac:dyDescent="0.15">
      <c r="B105" t="s">
        <v>50</v>
      </c>
      <c r="D105" s="4">
        <f>D91</f>
        <v>37891.40625</v>
      </c>
    </row>
    <row r="106" spans="1:4" x14ac:dyDescent="0.15">
      <c r="B106" t="s">
        <v>71</v>
      </c>
      <c r="D106" s="4">
        <f>C99</f>
        <v>-2983.0474448965456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X167"/>
  <sheetViews>
    <sheetView tabSelected="1" topLeftCell="A130" workbookViewId="0">
      <selection activeCell="D140" sqref="D140"/>
    </sheetView>
  </sheetViews>
  <sheetFormatPr baseColWidth="10" defaultRowHeight="13" x14ac:dyDescent="0.15"/>
  <cols>
    <col min="3" max="3" width="15.83203125" customWidth="1"/>
    <col min="4" max="4" width="14.83203125" customWidth="1"/>
    <col min="5" max="5" width="17.1640625" style="1" customWidth="1"/>
    <col min="6" max="6" width="10.6640625" style="1"/>
  </cols>
  <sheetData>
    <row r="1" spans="1:9" x14ac:dyDescent="0.15">
      <c r="A1" t="s">
        <v>11</v>
      </c>
      <c r="E1" s="1" t="s">
        <v>13</v>
      </c>
      <c r="F1" s="1" t="s">
        <v>14</v>
      </c>
    </row>
    <row r="2" spans="1:9" x14ac:dyDescent="0.15">
      <c r="C2" t="s">
        <v>12</v>
      </c>
      <c r="E2" s="1">
        <v>79.25</v>
      </c>
      <c r="F2" s="1">
        <v>79.319999999999993</v>
      </c>
    </row>
    <row r="4" spans="1:9" x14ac:dyDescent="0.15">
      <c r="C4" t="s">
        <v>15</v>
      </c>
      <c r="E4" s="2">
        <v>2.2499999999999999E-2</v>
      </c>
      <c r="F4" s="2">
        <v>2.35E-2</v>
      </c>
    </row>
    <row r="6" spans="1:9" s="6" customFormat="1" ht="18" x14ac:dyDescent="0.2">
      <c r="A6" s="6" t="s">
        <v>25</v>
      </c>
      <c r="E6" s="7"/>
      <c r="F6" s="7"/>
    </row>
    <row r="7" spans="1:9" x14ac:dyDescent="0.15">
      <c r="A7" t="s">
        <v>16</v>
      </c>
      <c r="B7" s="3">
        <v>25000000</v>
      </c>
      <c r="C7" t="s">
        <v>17</v>
      </c>
      <c r="D7" t="s">
        <v>18</v>
      </c>
      <c r="F7" s="3">
        <f>F2/100*B7</f>
        <v>19829999.999999996</v>
      </c>
      <c r="H7" t="s">
        <v>62</v>
      </c>
      <c r="I7">
        <v>0.09</v>
      </c>
    </row>
    <row r="9" spans="1:9" x14ac:dyDescent="0.15">
      <c r="A9" t="s">
        <v>105</v>
      </c>
    </row>
    <row r="10" spans="1:9" x14ac:dyDescent="0.15">
      <c r="A10" t="s">
        <v>39</v>
      </c>
    </row>
    <row r="11" spans="1:9" x14ac:dyDescent="0.15">
      <c r="A11" t="s">
        <v>40</v>
      </c>
    </row>
    <row r="13" spans="1:9" x14ac:dyDescent="0.15">
      <c r="A13" t="s">
        <v>51</v>
      </c>
      <c r="E13" s="1">
        <v>79</v>
      </c>
      <c r="F13" s="1">
        <v>79.08</v>
      </c>
      <c r="G13" t="s">
        <v>1</v>
      </c>
      <c r="H13">
        <v>2.5000000000000001E-2</v>
      </c>
      <c r="I13">
        <v>2.6499999999999999E-2</v>
      </c>
    </row>
    <row r="15" spans="1:9" x14ac:dyDescent="0.15">
      <c r="A15" t="s">
        <v>43</v>
      </c>
      <c r="D15" s="3">
        <f>F4*(30/360)*F7</f>
        <v>38833.749999999993</v>
      </c>
    </row>
    <row r="16" spans="1:9" x14ac:dyDescent="0.15">
      <c r="A16" t="s">
        <v>52</v>
      </c>
      <c r="D16" s="4">
        <f>F13*B7/100</f>
        <v>19770000</v>
      </c>
    </row>
    <row r="17" spans="1:6" x14ac:dyDescent="0.15">
      <c r="A17" t="s">
        <v>53</v>
      </c>
      <c r="D17" s="4"/>
      <c r="E17" s="3">
        <f>F7+D15-D16</f>
        <v>98833.749999996275</v>
      </c>
      <c r="F17" s="9" t="s">
        <v>54</v>
      </c>
    </row>
    <row r="19" spans="1:6" x14ac:dyDescent="0.15">
      <c r="A19" t="s">
        <v>0</v>
      </c>
      <c r="B19" t="s">
        <v>2</v>
      </c>
      <c r="E19" s="1">
        <v>78.45</v>
      </c>
      <c r="F19" s="1">
        <v>78.55</v>
      </c>
    </row>
    <row r="20" spans="1:6" x14ac:dyDescent="0.15">
      <c r="B20" t="s">
        <v>3</v>
      </c>
      <c r="D20" s="3">
        <f>E19*B7/100</f>
        <v>19612500</v>
      </c>
    </row>
    <row r="21" spans="1:6" x14ac:dyDescent="0.15">
      <c r="B21" t="s">
        <v>4</v>
      </c>
    </row>
    <row r="22" spans="1:6" x14ac:dyDescent="0.15">
      <c r="B22" t="s">
        <v>5</v>
      </c>
      <c r="D22" s="4">
        <f>-I13*D16*(30/360)</f>
        <v>-43658.75</v>
      </c>
    </row>
    <row r="23" spans="1:6" x14ac:dyDescent="0.15">
      <c r="B23" t="s">
        <v>6</v>
      </c>
      <c r="D23" s="4">
        <f>-D16</f>
        <v>-19770000</v>
      </c>
    </row>
    <row r="24" spans="1:6" x14ac:dyDescent="0.15">
      <c r="A24" t="s">
        <v>7</v>
      </c>
      <c r="D24" s="5">
        <f>D20+D22+D23</f>
        <v>-201158.75</v>
      </c>
    </row>
    <row r="26" spans="1:6" x14ac:dyDescent="0.15">
      <c r="A26" t="s">
        <v>8</v>
      </c>
    </row>
    <row r="27" spans="1:6" x14ac:dyDescent="0.15">
      <c r="A27" t="s">
        <v>59</v>
      </c>
      <c r="B27">
        <v>0</v>
      </c>
      <c r="C27">
        <f>1/12</f>
        <v>8.3333333333333329E-2</v>
      </c>
      <c r="D27">
        <f>2/12</f>
        <v>0.16666666666666666</v>
      </c>
    </row>
    <row r="28" spans="1:6" x14ac:dyDescent="0.15">
      <c r="A28" t="s">
        <v>60</v>
      </c>
      <c r="B28">
        <v>0</v>
      </c>
      <c r="C28" s="4">
        <f>-E17</f>
        <v>-98833.749999996275</v>
      </c>
      <c r="D28" s="4">
        <f>D24</f>
        <v>-201158.75</v>
      </c>
    </row>
    <row r="29" spans="1:6" x14ac:dyDescent="0.15">
      <c r="A29" t="s">
        <v>61</v>
      </c>
      <c r="D29" s="4">
        <f>(EXP(C27*I7)-1)*C28</f>
        <v>-744.03978651617126</v>
      </c>
    </row>
    <row r="31" spans="1:6" x14ac:dyDescent="0.15">
      <c r="A31" t="s">
        <v>63</v>
      </c>
      <c r="D31" s="4">
        <f>C28+D28+D29</f>
        <v>-300736.53978651244</v>
      </c>
    </row>
    <row r="33" spans="1:9" x14ac:dyDescent="0.15">
      <c r="A33" t="s">
        <v>46</v>
      </c>
    </row>
    <row r="34" spans="1:9" x14ac:dyDescent="0.15">
      <c r="B34" t="s">
        <v>47</v>
      </c>
      <c r="C34" s="4">
        <f>SUM(D35:D37)</f>
        <v>-300736.53978651372</v>
      </c>
    </row>
    <row r="35" spans="1:9" x14ac:dyDescent="0.15">
      <c r="B35" t="s">
        <v>78</v>
      </c>
      <c r="D35" s="4">
        <f>(E19-F2)*B7/100</f>
        <v>-217499.99999999758</v>
      </c>
    </row>
    <row r="36" spans="1:9" x14ac:dyDescent="0.15">
      <c r="B36" t="s">
        <v>79</v>
      </c>
      <c r="D36" s="4">
        <f>-D15+D22</f>
        <v>-82492.5</v>
      </c>
    </row>
    <row r="37" spans="1:9" x14ac:dyDescent="0.15">
      <c r="B37" t="s">
        <v>29</v>
      </c>
      <c r="D37" s="4">
        <f>D29</f>
        <v>-744.03978651617126</v>
      </c>
    </row>
    <row r="39" spans="1:9" s="6" customFormat="1" ht="18" x14ac:dyDescent="0.2">
      <c r="A39" s="6" t="s">
        <v>26</v>
      </c>
      <c r="E39" s="7"/>
      <c r="F39" s="7"/>
    </row>
    <row r="40" spans="1:9" x14ac:dyDescent="0.15">
      <c r="A40" t="s">
        <v>82</v>
      </c>
      <c r="B40" s="3">
        <v>25000000</v>
      </c>
      <c r="C40" t="s">
        <v>17</v>
      </c>
      <c r="D40" t="s">
        <v>83</v>
      </c>
      <c r="F40" s="3">
        <f>E2/100*B40</f>
        <v>19812500</v>
      </c>
      <c r="H40" t="s">
        <v>62</v>
      </c>
      <c r="I40">
        <v>0.09</v>
      </c>
    </row>
    <row r="42" spans="1:9" x14ac:dyDescent="0.15">
      <c r="A42" t="s">
        <v>84</v>
      </c>
    </row>
    <row r="43" spans="1:9" x14ac:dyDescent="0.15">
      <c r="A43" t="s">
        <v>85</v>
      </c>
    </row>
    <row r="45" spans="1:9" x14ac:dyDescent="0.15">
      <c r="A45" t="s">
        <v>19</v>
      </c>
      <c r="E45" s="1">
        <v>79</v>
      </c>
      <c r="F45" s="1">
        <v>79.08</v>
      </c>
      <c r="G45" t="s">
        <v>1</v>
      </c>
      <c r="H45">
        <v>2.5000000000000001E-2</v>
      </c>
      <c r="I45">
        <v>2.6499999999999999E-2</v>
      </c>
    </row>
    <row r="47" spans="1:9" x14ac:dyDescent="0.15">
      <c r="B47" t="s">
        <v>20</v>
      </c>
      <c r="D47" s="4">
        <f>F40*E4*(30/360)</f>
        <v>37148.4375</v>
      </c>
    </row>
    <row r="48" spans="1:9" x14ac:dyDescent="0.15">
      <c r="B48" t="s">
        <v>21</v>
      </c>
      <c r="D48" s="3">
        <f>E45*B40/100</f>
        <v>19750000</v>
      </c>
    </row>
    <row r="49" spans="1:6" x14ac:dyDescent="0.15">
      <c r="B49" t="s">
        <v>22</v>
      </c>
      <c r="D49" s="4">
        <f>F40+D47-D48</f>
        <v>99648.4375</v>
      </c>
    </row>
    <row r="52" spans="1:6" x14ac:dyDescent="0.15">
      <c r="A52" t="s">
        <v>23</v>
      </c>
      <c r="E52" s="1">
        <v>78.45</v>
      </c>
      <c r="F52" s="1">
        <v>78.55</v>
      </c>
    </row>
    <row r="53" spans="1:6" x14ac:dyDescent="0.15">
      <c r="A53" t="s">
        <v>87</v>
      </c>
    </row>
    <row r="54" spans="1:6" x14ac:dyDescent="0.15">
      <c r="A54" t="s">
        <v>88</v>
      </c>
      <c r="D54" s="4">
        <f>D48</f>
        <v>19750000</v>
      </c>
    </row>
    <row r="55" spans="1:6" x14ac:dyDescent="0.15">
      <c r="C55" s="8" t="s">
        <v>89</v>
      </c>
      <c r="D55" s="4">
        <f>D54*H45*(30/360)</f>
        <v>41145.833333333328</v>
      </c>
    </row>
    <row r="56" spans="1:6" x14ac:dyDescent="0.15">
      <c r="A56" t="s">
        <v>90</v>
      </c>
      <c r="E56" s="4">
        <f>-F52*B40/100</f>
        <v>-19637500</v>
      </c>
    </row>
    <row r="58" spans="1:6" x14ac:dyDescent="0.15">
      <c r="A58" t="s">
        <v>24</v>
      </c>
      <c r="D58" s="4">
        <f>D54+D55+E56</f>
        <v>153645.83333333209</v>
      </c>
      <c r="E58" s="9"/>
    </row>
    <row r="60" spans="1:6" x14ac:dyDescent="0.15">
      <c r="A60" t="s">
        <v>8</v>
      </c>
    </row>
    <row r="61" spans="1:6" x14ac:dyDescent="0.15">
      <c r="A61" t="s">
        <v>59</v>
      </c>
      <c r="B61">
        <v>0</v>
      </c>
      <c r="C61">
        <f>1/12</f>
        <v>8.3333333333333329E-2</v>
      </c>
      <c r="D61">
        <f>2/12</f>
        <v>0.16666666666666666</v>
      </c>
    </row>
    <row r="62" spans="1:6" x14ac:dyDescent="0.15">
      <c r="A62" t="s">
        <v>60</v>
      </c>
      <c r="B62">
        <v>0</v>
      </c>
      <c r="C62" s="4">
        <f>D49</f>
        <v>99648.4375</v>
      </c>
      <c r="D62" s="4">
        <f>D58</f>
        <v>153645.83333333209</v>
      </c>
    </row>
    <row r="63" spans="1:6" x14ac:dyDescent="0.15">
      <c r="A63" t="s">
        <v>120</v>
      </c>
      <c r="D63" s="4">
        <f>(EXP(C61*I40)-1)*C62</f>
        <v>750.17291324241796</v>
      </c>
    </row>
    <row r="65" spans="1:8" x14ac:dyDescent="0.15">
      <c r="A65" t="s">
        <v>63</v>
      </c>
      <c r="D65" s="4">
        <f>C62+D62+D63</f>
        <v>254044.44374657451</v>
      </c>
    </row>
    <row r="67" spans="1:8" x14ac:dyDescent="0.15">
      <c r="A67" t="s">
        <v>46</v>
      </c>
    </row>
    <row r="68" spans="1:8" x14ac:dyDescent="0.15">
      <c r="B68" t="s">
        <v>47</v>
      </c>
      <c r="C68" s="4">
        <f>SUM(D69:D71)</f>
        <v>254044.44374657643</v>
      </c>
    </row>
    <row r="69" spans="1:8" x14ac:dyDescent="0.15">
      <c r="B69" t="s">
        <v>27</v>
      </c>
      <c r="D69" s="4">
        <f>(E2-F52)*B40/100</f>
        <v>175000.0000000007</v>
      </c>
    </row>
    <row r="70" spans="1:8" x14ac:dyDescent="0.15">
      <c r="B70" t="s">
        <v>28</v>
      </c>
      <c r="D70" s="4">
        <f>D47+D55</f>
        <v>78294.270833333328</v>
      </c>
    </row>
    <row r="71" spans="1:8" x14ac:dyDescent="0.15">
      <c r="B71" t="s">
        <v>29</v>
      </c>
      <c r="D71" s="4">
        <f>D63</f>
        <v>750.17291324241796</v>
      </c>
    </row>
    <row r="72" spans="1:8" x14ac:dyDescent="0.15">
      <c r="D72" s="4"/>
    </row>
    <row r="73" spans="1:8" x14ac:dyDescent="0.15">
      <c r="D73" s="4"/>
    </row>
    <row r="75" spans="1:8" s="6" customFormat="1" ht="18" x14ac:dyDescent="0.2">
      <c r="A75" s="6" t="s">
        <v>30</v>
      </c>
      <c r="E75" s="7"/>
      <c r="F75" s="7"/>
    </row>
    <row r="76" spans="1:8" x14ac:dyDescent="0.15">
      <c r="A76" t="s">
        <v>16</v>
      </c>
      <c r="B76" s="3">
        <v>25000000</v>
      </c>
      <c r="C76" t="s">
        <v>17</v>
      </c>
      <c r="D76" t="s">
        <v>10</v>
      </c>
      <c r="E76" s="1">
        <v>0.02</v>
      </c>
      <c r="F76" s="3">
        <f>E76*B76*F2/100</f>
        <v>396600</v>
      </c>
      <c r="G76" t="s">
        <v>70</v>
      </c>
      <c r="H76">
        <v>0.09</v>
      </c>
    </row>
    <row r="78" spans="1:8" x14ac:dyDescent="0.15">
      <c r="A78" t="s">
        <v>105</v>
      </c>
    </row>
    <row r="79" spans="1:8" x14ac:dyDescent="0.15">
      <c r="A79" t="s">
        <v>65</v>
      </c>
    </row>
    <row r="80" spans="1:8" x14ac:dyDescent="0.15">
      <c r="A80" t="s">
        <v>33</v>
      </c>
      <c r="C80" s="4">
        <f>B76*F2/100</f>
        <v>19829999.999999996</v>
      </c>
    </row>
    <row r="81" spans="1:9" x14ac:dyDescent="0.15">
      <c r="A81" t="s">
        <v>64</v>
      </c>
      <c r="C81" s="4">
        <f>B76*F2/100-F76</f>
        <v>19433399.999999996</v>
      </c>
    </row>
    <row r="82" spans="1:9" x14ac:dyDescent="0.15">
      <c r="A82" t="s">
        <v>32</v>
      </c>
      <c r="D82" s="4">
        <f>F76</f>
        <v>396600</v>
      </c>
    </row>
    <row r="84" spans="1:9" x14ac:dyDescent="0.15">
      <c r="A84" t="s">
        <v>31</v>
      </c>
      <c r="E84" s="1">
        <v>79</v>
      </c>
      <c r="F84" s="1">
        <v>79.08</v>
      </c>
      <c r="G84" t="s">
        <v>1</v>
      </c>
      <c r="H84">
        <v>2.5000000000000001E-2</v>
      </c>
      <c r="I84">
        <v>2.6499999999999999E-2</v>
      </c>
    </row>
    <row r="85" spans="1:9" x14ac:dyDescent="0.15">
      <c r="B85" t="s">
        <v>34</v>
      </c>
      <c r="D85" s="4">
        <f>-C81*F4*(30/360)</f>
        <v>-38057.07499999999</v>
      </c>
    </row>
    <row r="86" spans="1:9" x14ac:dyDescent="0.15">
      <c r="B86" t="s">
        <v>36</v>
      </c>
      <c r="D86" s="4">
        <f>-C81</f>
        <v>-19433399.999999996</v>
      </c>
    </row>
    <row r="87" spans="1:9" x14ac:dyDescent="0.15">
      <c r="B87" t="s">
        <v>35</v>
      </c>
      <c r="D87" s="4">
        <f>(1-E76)*F84*B76/100</f>
        <v>19374600</v>
      </c>
    </row>
    <row r="88" spans="1:9" x14ac:dyDescent="0.15">
      <c r="B88" t="s">
        <v>37</v>
      </c>
      <c r="D88" s="4">
        <f>D85+D86+D87</f>
        <v>-96857.07499999553</v>
      </c>
      <c r="E88" s="9" t="s">
        <v>38</v>
      </c>
    </row>
    <row r="89" spans="1:9" x14ac:dyDescent="0.15">
      <c r="B89" t="s">
        <v>106</v>
      </c>
      <c r="D89" s="4">
        <f>-(EXP(H76*(1/12))-1)*D82</f>
        <v>-2985.6823133021326</v>
      </c>
      <c r="E89" s="9" t="s">
        <v>107</v>
      </c>
    </row>
    <row r="92" spans="1:9" x14ac:dyDescent="0.15">
      <c r="A92" t="s">
        <v>108</v>
      </c>
      <c r="D92" s="3">
        <f>E92/100*B76</f>
        <v>19612500</v>
      </c>
      <c r="E92" s="1">
        <v>78.45</v>
      </c>
      <c r="F92" s="1">
        <v>78.55</v>
      </c>
    </row>
    <row r="93" spans="1:9" x14ac:dyDescent="0.15">
      <c r="A93" t="s">
        <v>48</v>
      </c>
      <c r="D93" s="3"/>
    </row>
    <row r="94" spans="1:9" x14ac:dyDescent="0.15">
      <c r="A94" t="s">
        <v>43</v>
      </c>
      <c r="D94" s="3">
        <f>-I84*(30/360)*D87</f>
        <v>-42785.57499999999</v>
      </c>
    </row>
    <row r="96" spans="1:9" x14ac:dyDescent="0.15">
      <c r="A96" t="s">
        <v>44</v>
      </c>
      <c r="D96" s="4">
        <f>-D87+D94</f>
        <v>-19417385.574999999</v>
      </c>
    </row>
    <row r="98" spans="1:6" x14ac:dyDescent="0.15">
      <c r="A98" t="s">
        <v>55</v>
      </c>
      <c r="D98" s="4">
        <f>D92+D96</f>
        <v>195114.42500000075</v>
      </c>
    </row>
    <row r="100" spans="1:6" x14ac:dyDescent="0.15">
      <c r="A100" t="s">
        <v>66</v>
      </c>
    </row>
    <row r="101" spans="1:6" x14ac:dyDescent="0.15">
      <c r="A101" t="s">
        <v>67</v>
      </c>
      <c r="B101" s="1">
        <v>0</v>
      </c>
      <c r="C101" s="1">
        <f>1/12</f>
        <v>8.3333333333333329E-2</v>
      </c>
      <c r="D101">
        <f>2/12</f>
        <v>0.16666666666666666</v>
      </c>
    </row>
    <row r="102" spans="1:6" x14ac:dyDescent="0.15">
      <c r="A102" t="s">
        <v>68</v>
      </c>
      <c r="B102" s="3">
        <f>-F76</f>
        <v>-396600</v>
      </c>
      <c r="C102" s="3">
        <f>D88</f>
        <v>-96857.07499999553</v>
      </c>
      <c r="D102" s="4">
        <f>D98</f>
        <v>195114.42500000075</v>
      </c>
    </row>
    <row r="103" spans="1:6" x14ac:dyDescent="0.15">
      <c r="A103" t="s">
        <v>69</v>
      </c>
      <c r="B103" s="1"/>
      <c r="C103" s="3">
        <f>(EXP(C101*H76)-1)*B102</f>
        <v>-2985.6823133021326</v>
      </c>
      <c r="D103" s="4">
        <f>(EXP(C101*H76)-1)*(B102+C102)</f>
        <v>-3714.8413040879741</v>
      </c>
    </row>
    <row r="104" spans="1:6" x14ac:dyDescent="0.15">
      <c r="A104" t="s">
        <v>72</v>
      </c>
      <c r="B104" s="1"/>
      <c r="C104" s="3"/>
      <c r="D104" s="4">
        <f>B102+C102+D102+C103+D103</f>
        <v>-305043.17361738486</v>
      </c>
    </row>
    <row r="106" spans="1:6" x14ac:dyDescent="0.15">
      <c r="A106" t="s">
        <v>46</v>
      </c>
    </row>
    <row r="107" spans="1:6" x14ac:dyDescent="0.15">
      <c r="B107" t="s">
        <v>47</v>
      </c>
      <c r="C107" s="4">
        <f>SUM(D108:D110)</f>
        <v>-305043.17361738766</v>
      </c>
    </row>
    <row r="108" spans="1:6" x14ac:dyDescent="0.15">
      <c r="B108" t="s">
        <v>78</v>
      </c>
      <c r="D108" s="5">
        <f>(E92-F2)/100*B76</f>
        <v>-217499.99999999761</v>
      </c>
    </row>
    <row r="109" spans="1:6" x14ac:dyDescent="0.15">
      <c r="B109" t="s">
        <v>79</v>
      </c>
      <c r="D109" s="5">
        <f>D85+D94</f>
        <v>-80842.64999999998</v>
      </c>
    </row>
    <row r="110" spans="1:6" x14ac:dyDescent="0.15">
      <c r="B110" t="s">
        <v>71</v>
      </c>
      <c r="D110" s="4">
        <f>C103+D103</f>
        <v>-6700.5236173901067</v>
      </c>
    </row>
    <row r="111" spans="1:6" x14ac:dyDescent="0.15">
      <c r="D111" s="5"/>
    </row>
    <row r="112" spans="1:6" s="6" customFormat="1" ht="18" x14ac:dyDescent="0.2">
      <c r="A112" s="6" t="s">
        <v>111</v>
      </c>
      <c r="E112" s="7"/>
      <c r="F112" s="7"/>
    </row>
    <row r="113" spans="1:9" x14ac:dyDescent="0.15">
      <c r="A113" t="s">
        <v>82</v>
      </c>
      <c r="B113" s="3">
        <v>25000000</v>
      </c>
      <c r="C113" t="s">
        <v>17</v>
      </c>
      <c r="D113" t="s">
        <v>83</v>
      </c>
      <c r="F113" s="3">
        <f>E2/100*B113</f>
        <v>19812500</v>
      </c>
      <c r="H113" t="s">
        <v>77</v>
      </c>
      <c r="I113">
        <v>0.02</v>
      </c>
    </row>
    <row r="114" spans="1:9" x14ac:dyDescent="0.15">
      <c r="H114" t="s">
        <v>117</v>
      </c>
      <c r="I114">
        <v>0.09</v>
      </c>
    </row>
    <row r="115" spans="1:9" x14ac:dyDescent="0.15">
      <c r="A115" t="s">
        <v>75</v>
      </c>
    </row>
    <row r="116" spans="1:9" x14ac:dyDescent="0.15">
      <c r="A116" t="s">
        <v>74</v>
      </c>
    </row>
    <row r="117" spans="1:9" x14ac:dyDescent="0.15">
      <c r="A117" t="s">
        <v>76</v>
      </c>
    </row>
    <row r="118" spans="1:9" x14ac:dyDescent="0.15">
      <c r="A118" t="s">
        <v>77</v>
      </c>
      <c r="B118" s="3">
        <f>I113*F113</f>
        <v>396250</v>
      </c>
      <c r="C118" t="s">
        <v>112</v>
      </c>
      <c r="F118" s="3">
        <f>F113+B118</f>
        <v>20208750</v>
      </c>
    </row>
    <row r="120" spans="1:9" x14ac:dyDescent="0.15">
      <c r="A120" t="s">
        <v>109</v>
      </c>
      <c r="E120" s="1">
        <v>79</v>
      </c>
      <c r="F120" s="1">
        <v>79.08</v>
      </c>
      <c r="G120" t="s">
        <v>110</v>
      </c>
      <c r="H120">
        <v>2.5000000000000001E-2</v>
      </c>
      <c r="I120">
        <v>2.6499999999999999E-2</v>
      </c>
    </row>
    <row r="122" spans="1:9" x14ac:dyDescent="0.15">
      <c r="A122" t="s">
        <v>113</v>
      </c>
      <c r="D122" s="3">
        <f>E4*(30/360)*F118</f>
        <v>37891.40625</v>
      </c>
    </row>
    <row r="123" spans="1:9" x14ac:dyDescent="0.15">
      <c r="A123" t="s">
        <v>114</v>
      </c>
      <c r="D123" s="3">
        <f>-B113*1.02*E120/100</f>
        <v>-20145000</v>
      </c>
    </row>
    <row r="124" spans="1:9" x14ac:dyDescent="0.15">
      <c r="B124" t="s">
        <v>115</v>
      </c>
      <c r="D124" s="4">
        <f>F118+D122+D123</f>
        <v>101641.40625</v>
      </c>
    </row>
    <row r="125" spans="1:9" x14ac:dyDescent="0.15">
      <c r="B125" t="s">
        <v>116</v>
      </c>
      <c r="D125" s="4">
        <f>(EXP(I114*(1/12))-1)*B118</f>
        <v>2983.0474448965456</v>
      </c>
    </row>
    <row r="128" spans="1:9" x14ac:dyDescent="0.15">
      <c r="A128" t="s">
        <v>118</v>
      </c>
      <c r="E128" s="1">
        <v>78.45</v>
      </c>
      <c r="F128" s="1">
        <v>78.55</v>
      </c>
    </row>
    <row r="129" spans="1:5" x14ac:dyDescent="0.15">
      <c r="A129" t="s">
        <v>87</v>
      </c>
    </row>
    <row r="130" spans="1:5" x14ac:dyDescent="0.15">
      <c r="A130" t="s">
        <v>88</v>
      </c>
      <c r="D130" s="4">
        <f>-D123</f>
        <v>20145000</v>
      </c>
    </row>
    <row r="131" spans="1:5" x14ac:dyDescent="0.15">
      <c r="C131" s="8" t="s">
        <v>89</v>
      </c>
      <c r="D131" s="4">
        <f>H120*D130*(30/360)</f>
        <v>41968.75</v>
      </c>
    </row>
    <row r="132" spans="1:5" x14ac:dyDescent="0.15">
      <c r="A132" t="s">
        <v>90</v>
      </c>
      <c r="E132" s="4">
        <f>-B113*F128/100</f>
        <v>-19637500</v>
      </c>
    </row>
    <row r="134" spans="1:5" x14ac:dyDescent="0.15">
      <c r="A134" t="s">
        <v>119</v>
      </c>
      <c r="D134" s="4">
        <f>D130+D131+E132</f>
        <v>549468.75</v>
      </c>
      <c r="E134" s="9"/>
    </row>
    <row r="136" spans="1:5" x14ac:dyDescent="0.15">
      <c r="A136" t="s">
        <v>66</v>
      </c>
    </row>
    <row r="137" spans="1:5" x14ac:dyDescent="0.15">
      <c r="A137" t="s">
        <v>67</v>
      </c>
      <c r="B137" s="1">
        <v>0</v>
      </c>
      <c r="C137" s="1">
        <f>1/12</f>
        <v>8.3333333333333329E-2</v>
      </c>
      <c r="D137">
        <f>2/12</f>
        <v>0.16666666666666666</v>
      </c>
    </row>
    <row r="138" spans="1:5" x14ac:dyDescent="0.15">
      <c r="A138" t="s">
        <v>68</v>
      </c>
      <c r="B138" s="3">
        <f>-B118</f>
        <v>-396250</v>
      </c>
      <c r="C138" s="3">
        <f>D124</f>
        <v>101641.40625</v>
      </c>
      <c r="D138" s="4">
        <f>D134</f>
        <v>549468.75</v>
      </c>
    </row>
    <row r="139" spans="1:5" x14ac:dyDescent="0.15">
      <c r="A139" t="s">
        <v>69</v>
      </c>
      <c r="B139" s="1"/>
      <c r="C139" s="3">
        <f>(EXP(C137*H76)-1)*B138</f>
        <v>-2983.0474448965456</v>
      </c>
      <c r="D139" s="4">
        <f>(EXP(C137*I114)-1)*(B138+C138)</f>
        <v>-2217.8710733892794</v>
      </c>
    </row>
    <row r="140" spans="1:5" x14ac:dyDescent="0.15">
      <c r="A140" t="s">
        <v>72</v>
      </c>
      <c r="B140" s="1"/>
      <c r="C140" s="3"/>
      <c r="D140" s="4">
        <f>B138+C138+D138+C139+D139</f>
        <v>249659.23773171418</v>
      </c>
    </row>
    <row r="141" spans="1:5" x14ac:dyDescent="0.15">
      <c r="B141" s="1"/>
      <c r="C141" s="3"/>
    </row>
    <row r="142" spans="1:5" x14ac:dyDescent="0.15">
      <c r="A142" t="s">
        <v>46</v>
      </c>
    </row>
    <row r="143" spans="1:5" x14ac:dyDescent="0.15">
      <c r="B143" t="s">
        <v>47</v>
      </c>
      <c r="C143" s="4">
        <f>SUM(D144:D146)</f>
        <v>249659.23773171491</v>
      </c>
    </row>
    <row r="144" spans="1:5" x14ac:dyDescent="0.15">
      <c r="B144" t="s">
        <v>49</v>
      </c>
      <c r="D144" s="4">
        <f>(E2-F128)/100*B113</f>
        <v>175000.00000000073</v>
      </c>
    </row>
    <row r="145" spans="1:50" x14ac:dyDescent="0.15">
      <c r="B145" t="s">
        <v>50</v>
      </c>
      <c r="D145" s="4">
        <f>D131+D122</f>
        <v>79860.15625</v>
      </c>
    </row>
    <row r="146" spans="1:50" x14ac:dyDescent="0.15">
      <c r="B146" t="s">
        <v>71</v>
      </c>
      <c r="D146" s="4">
        <f>C139+D139</f>
        <v>-5200.9185182858255</v>
      </c>
    </row>
    <row r="149" spans="1:50" ht="1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1" spans="1:50" x14ac:dyDescent="0.15">
      <c r="A151" t="s">
        <v>56</v>
      </c>
    </row>
    <row r="152" spans="1:50" x14ac:dyDescent="0.15">
      <c r="B152" t="s">
        <v>57</v>
      </c>
    </row>
    <row r="153" spans="1:50" x14ac:dyDescent="0.15">
      <c r="B153" t="s">
        <v>58</v>
      </c>
    </row>
    <row r="154" spans="1:50" x14ac:dyDescent="0.15">
      <c r="B154" t="s">
        <v>98</v>
      </c>
    </row>
    <row r="155" spans="1:50" x14ac:dyDescent="0.15">
      <c r="B155" s="8" t="s">
        <v>99</v>
      </c>
    </row>
    <row r="157" spans="1:50" x14ac:dyDescent="0.15">
      <c r="B157" t="s">
        <v>100</v>
      </c>
    </row>
    <row r="158" spans="1:50" x14ac:dyDescent="0.15">
      <c r="B158" t="s">
        <v>101</v>
      </c>
    </row>
    <row r="160" spans="1:50" x14ac:dyDescent="0.15">
      <c r="B160" t="s">
        <v>102</v>
      </c>
    </row>
    <row r="161" spans="2:2" x14ac:dyDescent="0.15">
      <c r="B161" t="s">
        <v>103</v>
      </c>
    </row>
    <row r="163" spans="2:2" x14ac:dyDescent="0.15">
      <c r="B163" t="s">
        <v>104</v>
      </c>
    </row>
    <row r="165" spans="2:2" x14ac:dyDescent="0.15">
      <c r="B165" t="s">
        <v>96</v>
      </c>
    </row>
    <row r="167" spans="2:2" x14ac:dyDescent="0.15">
      <c r="B167" t="s">
        <v>97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period</vt:lpstr>
      <vt:lpstr>2 period</vt:lpstr>
    </vt:vector>
  </TitlesOfParts>
  <Company>University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Microsoft Office User</cp:lastModifiedBy>
  <dcterms:created xsi:type="dcterms:W3CDTF">2019-09-16T21:30:56Z</dcterms:created>
  <dcterms:modified xsi:type="dcterms:W3CDTF">2019-09-22T01:45:20Z</dcterms:modified>
</cp:coreProperties>
</file>