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100" tabRatio="500" activeTab="1"/>
  </bookViews>
  <sheets>
    <sheet name="IF" sheetId="2" r:id="rId1"/>
    <sheet name="LIF" sheetId="1" r:id="rId2"/>
    <sheet name="Forensics" sheetId="3" r:id="rId3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2" i="3"/>
  <c r="D20"/>
  <c r="D19"/>
  <c r="D18"/>
  <c r="C14"/>
  <c r="C13"/>
  <c r="D8"/>
  <c r="E6"/>
  <c r="D6"/>
  <c r="D51" i="2"/>
  <c r="H53"/>
  <c r="H52"/>
  <c r="E48"/>
  <c r="F47"/>
  <c r="E47"/>
  <c r="B47"/>
  <c r="F45"/>
  <c r="E45"/>
  <c r="C45"/>
  <c r="B45"/>
  <c r="F44"/>
  <c r="E44"/>
  <c r="D44"/>
  <c r="C44"/>
  <c r="F43"/>
  <c r="E43"/>
  <c r="C43"/>
  <c r="B39"/>
  <c r="G38"/>
  <c r="F38"/>
  <c r="E38"/>
  <c r="D38"/>
  <c r="C38"/>
  <c r="B37"/>
  <c r="G36"/>
  <c r="F36"/>
  <c r="E36"/>
  <c r="D36"/>
  <c r="C36"/>
  <c r="B35"/>
  <c r="G34"/>
  <c r="F34"/>
  <c r="E34"/>
  <c r="D34"/>
  <c r="C34"/>
  <c r="G33"/>
  <c r="F33"/>
  <c r="E33"/>
  <c r="D33"/>
  <c r="C33"/>
  <c r="E29"/>
  <c r="C24"/>
  <c r="B22"/>
  <c r="C15"/>
  <c r="G12"/>
  <c r="F12"/>
  <c r="E12"/>
  <c r="D12"/>
  <c r="C12"/>
  <c r="C2"/>
  <c r="F51" i="1"/>
  <c r="E51"/>
  <c r="B51"/>
  <c r="F49"/>
  <c r="E49"/>
  <c r="C49"/>
  <c r="B49"/>
  <c r="F48"/>
  <c r="E48"/>
  <c r="D48"/>
  <c r="C48"/>
  <c r="F47"/>
  <c r="E47"/>
  <c r="C47"/>
  <c r="B43"/>
  <c r="G42"/>
  <c r="F42"/>
  <c r="E42"/>
  <c r="D42"/>
  <c r="C42"/>
  <c r="B41"/>
  <c r="G40"/>
  <c r="F40"/>
  <c r="E40"/>
  <c r="D40"/>
  <c r="C40"/>
  <c r="B39"/>
  <c r="G38"/>
  <c r="F38"/>
  <c r="E38"/>
  <c r="D38"/>
  <c r="C38"/>
  <c r="G37"/>
  <c r="F37"/>
  <c r="E37"/>
  <c r="D37"/>
  <c r="C37"/>
  <c r="E33"/>
  <c r="C26"/>
  <c r="B24"/>
  <c r="C17"/>
  <c r="G14"/>
  <c r="F14"/>
  <c r="E14"/>
  <c r="D14"/>
  <c r="C14"/>
  <c r="C2"/>
</calcChain>
</file>

<file path=xl/sharedStrings.xml><?xml version="1.0" encoding="utf-8"?>
<sst xmlns="http://schemas.openxmlformats.org/spreadsheetml/2006/main" count="115" uniqueCount="83">
  <si>
    <t>Note that this levered inverse floater has exactly the same value as the floater.</t>
    <phoneticPr fontId="3" type="noConversion"/>
  </si>
  <si>
    <t>cc flat yield curve:</t>
    <phoneticPr fontId="3" type="noConversion"/>
  </si>
  <si>
    <t>EAY:</t>
    <phoneticPr fontId="3" type="noConversion"/>
  </si>
  <si>
    <t>5-year inverse floater with annual payments:</t>
    <phoneticPr fontId="3" type="noConversion"/>
  </si>
  <si>
    <t xml:space="preserve">  The coupon rate on the inverse floater is 3 times the current swap rate, and similarly, the floating payment is 3 times the rate on a standard floater with these terms.</t>
    <phoneticPr fontId="3" type="noConversion"/>
  </si>
  <si>
    <t>To get the value of this we could do it the long way or use intuition and make short-cuts.</t>
    <phoneticPr fontId="3" type="noConversion"/>
  </si>
  <si>
    <t>Suppose that we buy 3 standard fixd-rate bonds selling at par:</t>
    <phoneticPr fontId="3" type="noConversion"/>
  </si>
  <si>
    <t>Term (Yrs):</t>
    <phoneticPr fontId="3" type="noConversion"/>
  </si>
  <si>
    <t>CF:</t>
    <phoneticPr fontId="3" type="noConversion"/>
  </si>
  <si>
    <t xml:space="preserve">  fixed coupon</t>
    <phoneticPr fontId="3" type="noConversion"/>
  </si>
  <si>
    <t>Now sell 3 standard floaters (with annual interest payments indexed the the annual rate):</t>
    <phoneticPr fontId="3" type="noConversion"/>
  </si>
  <si>
    <t>-r(1,1)*300</t>
    <phoneticPr fontId="3" type="noConversion"/>
  </si>
  <si>
    <t>-300 *(1 + r(4,1) )</t>
    <phoneticPr fontId="3" type="noConversion"/>
  </si>
  <si>
    <t>here r(t,1) refers to the 1-year rate at time t.</t>
    <phoneticPr fontId="3" type="noConversion"/>
  </si>
  <si>
    <t>-r(2,1)*300</t>
    <phoneticPr fontId="3" type="noConversion"/>
  </si>
  <si>
    <t>-r(3,1)*300</t>
    <phoneticPr fontId="3" type="noConversion"/>
  </si>
  <si>
    <t>We see that the value of the levered inverse floater is the same as the inverse floater, also we note that the durations of the 3 components are the same as in the case of the inverse floater.</t>
    <phoneticPr fontId="3" type="noConversion"/>
  </si>
  <si>
    <t xml:space="preserve">    However, this security is almost twice as risky (using duration as our risk measure).</t>
    <phoneticPr fontId="3" type="noConversion"/>
  </si>
  <si>
    <t>The reason for this can be seen by looking at the value weights in the duration calculation.  We have 3 X as much exposure to the spread between the fixed and floating rate notes.  This is leverage.</t>
    <phoneticPr fontId="3" type="noConversion"/>
  </si>
  <si>
    <t>We know the duration of both the inverse floater and the levered inverse floater.</t>
    <phoneticPr fontId="3" type="noConversion"/>
  </si>
  <si>
    <t xml:space="preserve">  We know that the municipality lost </t>
    <phoneticPr fontId="3" type="noConversion"/>
  </si>
  <si>
    <t xml:space="preserve">  on a </t>
    <phoneticPr fontId="3" type="noConversion"/>
  </si>
  <si>
    <t xml:space="preserve"> portfolio.</t>
    <phoneticPr fontId="3" type="noConversion"/>
  </si>
  <si>
    <t>So the realized leverage is:</t>
    <phoneticPr fontId="3" type="noConversion"/>
  </si>
  <si>
    <t>% loss:</t>
    <phoneticPr fontId="3" type="noConversion"/>
  </si>
  <si>
    <t>chnge in rates:</t>
    <phoneticPr fontId="3" type="noConversion"/>
  </si>
  <si>
    <t>We know that the duration of the floating note is:</t>
    <phoneticPr fontId="3" type="noConversion"/>
  </si>
  <si>
    <t xml:space="preserve">  (Time between reset dates -- in years)</t>
    <phoneticPr fontId="3" type="noConversion"/>
  </si>
  <si>
    <t>We know the duration of the 0-coupon bond:</t>
    <phoneticPr fontId="3" type="noConversion"/>
  </si>
  <si>
    <t>So we have to obtain the duration of the coupon bond:</t>
    <phoneticPr fontId="3" type="noConversion"/>
  </si>
  <si>
    <t>df:</t>
    <phoneticPr fontId="3" type="noConversion"/>
  </si>
  <si>
    <t>PV</t>
    <phoneticPr fontId="3" type="noConversion"/>
  </si>
  <si>
    <t xml:space="preserve">  &lt;--Note that if we did not get 100 here we would know that we made a mistake.</t>
    <phoneticPr fontId="3" type="noConversion"/>
  </si>
  <si>
    <t>wt:</t>
    <phoneticPr fontId="3" type="noConversion"/>
  </si>
  <si>
    <t>wt*d:</t>
    <phoneticPr fontId="3" type="noConversion"/>
  </si>
  <si>
    <t>Now we compute the duration of the inverse floater</t>
    <phoneticPr fontId="3" type="noConversion"/>
  </si>
  <si>
    <t>Component</t>
    <phoneticPr fontId="3" type="noConversion"/>
  </si>
  <si>
    <t>Value</t>
    <phoneticPr fontId="3" type="noConversion"/>
  </si>
  <si>
    <t>wt</t>
    <phoneticPr fontId="3" type="noConversion"/>
  </si>
  <si>
    <t>dur</t>
    <phoneticPr fontId="3" type="noConversion"/>
  </si>
  <si>
    <t>wt * dur</t>
    <phoneticPr fontId="3" type="noConversion"/>
  </si>
  <si>
    <t>Floater</t>
    <phoneticPr fontId="3" type="noConversion"/>
  </si>
  <si>
    <t>Fixed</t>
    <phoneticPr fontId="3" type="noConversion"/>
  </si>
  <si>
    <t>0-Coupon:</t>
    <phoneticPr fontId="3" type="noConversion"/>
  </si>
  <si>
    <t>Duration:</t>
    <phoneticPr fontId="3" type="noConversion"/>
  </si>
  <si>
    <t xml:space="preserve">  &lt;--Note that if we did not get 300 here we would know that we made a mistake.</t>
    <phoneticPr fontId="3" type="noConversion"/>
  </si>
  <si>
    <t>We notice that this position is exactly like entering into 3 standard swaps, each with notional prinicpal 100-- and we know that these sell for 0.</t>
    <phoneticPr fontId="3" type="noConversion"/>
  </si>
  <si>
    <t>But for the inverse floater, we will also get the par value at maturity.</t>
    <phoneticPr fontId="3" type="noConversion"/>
  </si>
  <si>
    <t>CF</t>
    <phoneticPr fontId="3" type="noConversion"/>
  </si>
  <si>
    <t>So the value of this today is:</t>
    <phoneticPr fontId="3" type="noConversion"/>
  </si>
  <si>
    <t xml:space="preserve">  Note that we could have obtained this without the swap components, since we know that the swap is worth 0.</t>
    <phoneticPr fontId="3" type="noConversion"/>
  </si>
  <si>
    <t>---that is the value is the same as the 0-coupon bond.</t>
    <phoneticPr fontId="3" type="noConversion"/>
  </si>
  <si>
    <t>Now we want this risk:</t>
    <phoneticPr fontId="3" type="noConversion"/>
  </si>
  <si>
    <t>-r(1,1)*100</t>
    <phoneticPr fontId="3" type="noConversion"/>
  </si>
  <si>
    <t>-r(2,1)*100</t>
    <phoneticPr fontId="3" type="noConversion"/>
  </si>
  <si>
    <t>-r(3,1)*100</t>
    <phoneticPr fontId="3" type="noConversion"/>
  </si>
  <si>
    <t>-100 *(1 + r(4,1) )</t>
    <phoneticPr fontId="3" type="noConversion"/>
  </si>
  <si>
    <t>So for a 100 million par position, if interest rates rise by a basis point, we expect a loss of:</t>
    <phoneticPr fontId="3" type="noConversion"/>
  </si>
  <si>
    <t xml:space="preserve">  The coupon rate on the inverse floater is  the current swap rate.</t>
    <phoneticPr fontId="3" type="noConversion"/>
  </si>
  <si>
    <t>Suppose that we buy a standard fixed-rate bond selling at par:</t>
    <phoneticPr fontId="3" type="noConversion"/>
  </si>
  <si>
    <t>Now sell a standard floater (with annual interest payments indexed to the annual rate):</t>
    <phoneticPr fontId="3" type="noConversion"/>
  </si>
  <si>
    <t>We notice that this position is exactly like entering into a standard swap (with annual payments), each with notional prinicpal 100-- and we know that the value of such a swap is 0.</t>
    <phoneticPr fontId="3" type="noConversion"/>
  </si>
  <si>
    <t>Note that because it also involves a fixed payment at the end, this inverse floater has a higher DV01 than its ``companion'' swap.</t>
    <phoneticPr fontId="3" type="noConversion"/>
  </si>
  <si>
    <t>DV01:</t>
    <phoneticPr fontId="3" type="noConversion"/>
  </si>
  <si>
    <t>The DV01 of the companion swap:</t>
    <phoneticPr fontId="3" type="noConversion"/>
  </si>
  <si>
    <t>DV01</t>
    <phoneticPr fontId="3" type="noConversion"/>
  </si>
  <si>
    <t xml:space="preserve">  on the inverse floater</t>
    <phoneticPr fontId="3" type="noConversion"/>
  </si>
  <si>
    <t>and:</t>
    <phoneticPr fontId="3" type="noConversion"/>
  </si>
  <si>
    <t xml:space="preserve">  on the companion swap with the same notional principal.</t>
    <phoneticPr fontId="3" type="noConversion"/>
  </si>
  <si>
    <t>implied duration:</t>
    <phoneticPr fontId="3" type="noConversion"/>
  </si>
  <si>
    <t>We know the duration of the 2 assets in the portfolio:</t>
    <phoneticPr fontId="3" type="noConversion"/>
  </si>
  <si>
    <t>IF:</t>
    <phoneticPr fontId="3" type="noConversion"/>
  </si>
  <si>
    <t>LIF:</t>
    <phoneticPr fontId="3" type="noConversion"/>
  </si>
  <si>
    <t>So we can solve:</t>
    <phoneticPr fontId="3" type="noConversion"/>
  </si>
  <si>
    <t>w*9.425 + (1-w)*18.275 = 14.407</t>
    <phoneticPr fontId="3" type="noConversion"/>
  </si>
  <si>
    <t>where w represents the percentage of the portfolio in the floater and since the portfolio only has 2 assets, 1-w is the weight in the levered inverse floater.</t>
    <phoneticPr fontId="3" type="noConversion"/>
  </si>
  <si>
    <t>w:</t>
    <phoneticPr fontId="3" type="noConversion"/>
  </si>
  <si>
    <t>So before the rise in rates, the find owned :</t>
    <phoneticPr fontId="3" type="noConversion"/>
  </si>
  <si>
    <t xml:space="preserve">     and:</t>
    <phoneticPr fontId="3" type="noConversion"/>
  </si>
  <si>
    <t xml:space="preserve">  in the levered inverse floater</t>
    <phoneticPr fontId="3" type="noConversion"/>
  </si>
  <si>
    <t xml:space="preserve"> in the inverse floater</t>
    <phoneticPr fontId="3" type="noConversion"/>
  </si>
  <si>
    <t>after an interest rate increase from 4 to 4.4%.</t>
    <phoneticPr fontId="3" type="noConversion"/>
  </si>
  <si>
    <t>Verify:</t>
    <phoneticPr fontId="3" type="noConversion"/>
  </si>
</sst>
</file>

<file path=xl/styles.xml><?xml version="1.0" encoding="utf-8"?>
<styleSheet xmlns="http://schemas.openxmlformats.org/spreadsheetml/2006/main">
  <numFmts count="1">
    <numFmt numFmtId="164" formatCode="#,##0.000000000000000"/>
  </numFmts>
  <fonts count="4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53"/>
  <sheetViews>
    <sheetView topLeftCell="A18" workbookViewId="0">
      <selection activeCell="F49" sqref="F49"/>
    </sheetView>
  </sheetViews>
  <sheetFormatPr baseColWidth="10" defaultRowHeight="13"/>
  <cols>
    <col min="7" max="7" width="13.28515625" customWidth="1"/>
  </cols>
  <sheetData>
    <row r="1" spans="1:9">
      <c r="A1" t="s">
        <v>1</v>
      </c>
      <c r="C1">
        <v>0.04</v>
      </c>
    </row>
    <row r="2" spans="1:9">
      <c r="A2" t="s">
        <v>2</v>
      </c>
      <c r="C2">
        <f>EXP(C1)-1</f>
        <v>4.0810774192388211E-2</v>
      </c>
    </row>
    <row r="4" spans="1:9">
      <c r="A4" t="s">
        <v>3</v>
      </c>
    </row>
    <row r="5" spans="1:9">
      <c r="A5" t="s">
        <v>58</v>
      </c>
    </row>
    <row r="7" spans="1:9">
      <c r="A7" t="s">
        <v>5</v>
      </c>
    </row>
    <row r="9" spans="1:9">
      <c r="A9" t="s">
        <v>59</v>
      </c>
    </row>
    <row r="11" spans="1:9">
      <c r="A11" t="s">
        <v>7</v>
      </c>
      <c r="B11">
        <v>0</v>
      </c>
      <c r="C11">
        <v>1</v>
      </c>
      <c r="D11">
        <v>2</v>
      </c>
      <c r="E11">
        <v>3</v>
      </c>
      <c r="F11">
        <v>4</v>
      </c>
      <c r="G11">
        <v>5</v>
      </c>
    </row>
    <row r="12" spans="1:9">
      <c r="A12" t="s">
        <v>8</v>
      </c>
      <c r="B12">
        <v>-100</v>
      </c>
      <c r="C12">
        <f>100*$C$2</f>
        <v>4.0810774192388211</v>
      </c>
      <c r="D12">
        <f t="shared" ref="D12:F12" si="0">100*$C$2</f>
        <v>4.0810774192388211</v>
      </c>
      <c r="E12">
        <f t="shared" si="0"/>
        <v>4.0810774192388211</v>
      </c>
      <c r="F12">
        <f t="shared" si="0"/>
        <v>4.0810774192388211</v>
      </c>
      <c r="G12">
        <f>100*(1+C2)</f>
        <v>104.08107741923882</v>
      </c>
    </row>
    <row r="14" spans="1:9">
      <c r="A14" t="s">
        <v>60</v>
      </c>
    </row>
    <row r="15" spans="1:9">
      <c r="A15" t="s">
        <v>8</v>
      </c>
      <c r="B15">
        <v>100</v>
      </c>
      <c r="C15">
        <f>-C12</f>
        <v>-4.0810774192388211</v>
      </c>
      <c r="D15" s="1" t="s">
        <v>53</v>
      </c>
      <c r="E15" s="1" t="s">
        <v>54</v>
      </c>
      <c r="F15" s="1" t="s">
        <v>55</v>
      </c>
      <c r="G15" s="1" t="s">
        <v>56</v>
      </c>
      <c r="I15" t="s">
        <v>13</v>
      </c>
    </row>
    <row r="18" spans="1:7">
      <c r="A18" t="s">
        <v>61</v>
      </c>
    </row>
    <row r="20" spans="1:7">
      <c r="A20" t="s">
        <v>47</v>
      </c>
    </row>
    <row r="22" spans="1:7">
      <c r="A22" t="s">
        <v>48</v>
      </c>
      <c r="B22">
        <f>G22*EXP(-G11*C1)</f>
        <v>81.873075307798189</v>
      </c>
      <c r="G22">
        <v>100</v>
      </c>
    </row>
    <row r="24" spans="1:7">
      <c r="A24" t="s">
        <v>49</v>
      </c>
      <c r="C24">
        <f>B12+B15+B22</f>
        <v>81.873075307798189</v>
      </c>
      <c r="D24" t="s">
        <v>50</v>
      </c>
    </row>
    <row r="25" spans="1:7">
      <c r="D25" s="1" t="s">
        <v>51</v>
      </c>
    </row>
    <row r="27" spans="1:7">
      <c r="A27" t="s">
        <v>52</v>
      </c>
    </row>
    <row r="28" spans="1:7">
      <c r="A28" t="s">
        <v>26</v>
      </c>
      <c r="E28" s="6">
        <v>1</v>
      </c>
      <c r="F28" t="s">
        <v>27</v>
      </c>
    </row>
    <row r="29" spans="1:7">
      <c r="A29" t="s">
        <v>28</v>
      </c>
      <c r="E29" s="6">
        <f>G11</f>
        <v>5</v>
      </c>
    </row>
    <row r="32" spans="1:7">
      <c r="A32" t="s">
        <v>29</v>
      </c>
    </row>
    <row r="33" spans="1:7">
      <c r="A33" t="s">
        <v>30</v>
      </c>
      <c r="C33">
        <f>EXP(-C11*$C$1)</f>
        <v>0.96078943915232318</v>
      </c>
      <c r="D33">
        <f t="shared" ref="D33:G33" si="1">EXP(-D11*$C$1)</f>
        <v>0.92311634638663576</v>
      </c>
      <c r="E33">
        <f t="shared" si="1"/>
        <v>0.88692043671715748</v>
      </c>
      <c r="F33">
        <f t="shared" si="1"/>
        <v>0.85214378896621135</v>
      </c>
      <c r="G33">
        <f t="shared" si="1"/>
        <v>0.81873075307798182</v>
      </c>
    </row>
    <row r="34" spans="1:7">
      <c r="A34" t="s">
        <v>31</v>
      </c>
      <c r="C34">
        <f>C33*C12</f>
        <v>3.9210560847676774</v>
      </c>
      <c r="D34">
        <f t="shared" ref="D34:G34" si="2">D33*D12</f>
        <v>3.7673092765687413</v>
      </c>
      <c r="E34">
        <f t="shared" si="2"/>
        <v>3.619590966947825</v>
      </c>
      <c r="F34">
        <f t="shared" si="2"/>
        <v>3.4776647750946164</v>
      </c>
      <c r="G34">
        <f t="shared" si="2"/>
        <v>85.214378896621128</v>
      </c>
    </row>
    <row r="35" spans="1:7">
      <c r="B35">
        <f>SUM(C34:G34)</f>
        <v>99.999999999999986</v>
      </c>
      <c r="C35" t="s">
        <v>32</v>
      </c>
    </row>
    <row r="36" spans="1:7">
      <c r="A36" t="s">
        <v>33</v>
      </c>
      <c r="C36">
        <f>C34/$B$35</f>
        <v>3.9210560847676781E-2</v>
      </c>
      <c r="D36">
        <f t="shared" ref="D36:G36" si="3">D34/$B$35</f>
        <v>3.7673092765687415E-2</v>
      </c>
      <c r="E36">
        <f t="shared" si="3"/>
        <v>3.6195909669478256E-2</v>
      </c>
      <c r="F36">
        <f t="shared" si="3"/>
        <v>3.4776647750946167E-2</v>
      </c>
      <c r="G36">
        <f t="shared" si="3"/>
        <v>0.85214378896621135</v>
      </c>
    </row>
    <row r="37" spans="1:7">
      <c r="B37">
        <f>SUM(C36:G36)</f>
        <v>1</v>
      </c>
    </row>
    <row r="38" spans="1:7">
      <c r="A38" t="s">
        <v>34</v>
      </c>
      <c r="C38">
        <f>C36*C11</f>
        <v>3.9210560847676781E-2</v>
      </c>
      <c r="D38">
        <f t="shared" ref="D38:G38" si="4">D36*D11</f>
        <v>7.5346185531374829E-2</v>
      </c>
      <c r="E38">
        <f t="shared" si="4"/>
        <v>0.10858772900843477</v>
      </c>
      <c r="F38">
        <f t="shared" si="4"/>
        <v>0.13910659100378467</v>
      </c>
      <c r="G38">
        <f t="shared" si="4"/>
        <v>4.2607189448310567</v>
      </c>
    </row>
    <row r="39" spans="1:7">
      <c r="B39" s="2">
        <f>SUM(C38:G38)</f>
        <v>4.6229700112223275</v>
      </c>
    </row>
    <row r="41" spans="1:7">
      <c r="A41" t="s">
        <v>35</v>
      </c>
    </row>
    <row r="42" spans="1:7">
      <c r="A42" t="s">
        <v>36</v>
      </c>
      <c r="B42" t="s">
        <v>37</v>
      </c>
      <c r="C42" t="s">
        <v>38</v>
      </c>
      <c r="D42" t="s">
        <v>39</v>
      </c>
      <c r="E42" t="s">
        <v>40</v>
      </c>
      <c r="F42" t="s">
        <v>65</v>
      </c>
    </row>
    <row r="43" spans="1:7">
      <c r="A43" t="s">
        <v>41</v>
      </c>
      <c r="B43">
        <v>-100</v>
      </c>
      <c r="C43">
        <f>B43/$B$47</f>
        <v>-1.2214027581601699</v>
      </c>
      <c r="D43">
        <v>1</v>
      </c>
      <c r="E43">
        <f>C43*D43</f>
        <v>-1.2214027581601699</v>
      </c>
      <c r="F43">
        <f>D43*B43/10000</f>
        <v>-0.01</v>
      </c>
    </row>
    <row r="44" spans="1:7">
      <c r="A44" t="s">
        <v>42</v>
      </c>
      <c r="B44">
        <v>100</v>
      </c>
      <c r="C44">
        <f t="shared" ref="C44:C45" si="5">B44/$B$47</f>
        <v>1.2214027581601699</v>
      </c>
      <c r="D44">
        <f>B39</f>
        <v>4.6229700112223275</v>
      </c>
      <c r="E44">
        <f t="shared" ref="E44:E45" si="6">C44*D44</f>
        <v>5.6465083225987023</v>
      </c>
      <c r="F44">
        <f t="shared" ref="F44:F45" si="7">D44*B44/10000</f>
        <v>4.6229700112223278E-2</v>
      </c>
    </row>
    <row r="45" spans="1:7">
      <c r="A45" t="s">
        <v>43</v>
      </c>
      <c r="B45">
        <f>B22</f>
        <v>81.873075307798189</v>
      </c>
      <c r="C45">
        <f t="shared" si="5"/>
        <v>1</v>
      </c>
      <c r="D45">
        <v>5</v>
      </c>
      <c r="E45">
        <f t="shared" si="6"/>
        <v>5</v>
      </c>
      <c r="F45">
        <f t="shared" si="7"/>
        <v>4.0936537653899097E-2</v>
      </c>
    </row>
    <row r="47" spans="1:7">
      <c r="B47">
        <f>SUM(B43:B45)</f>
        <v>81.873075307798189</v>
      </c>
      <c r="E47" s="2">
        <f>SUM(E43:E45)</f>
        <v>9.4251055644385318</v>
      </c>
      <c r="F47" s="2">
        <f>SUM(F43:F45)</f>
        <v>7.7166237766122373E-2</v>
      </c>
    </row>
    <row r="48" spans="1:7">
      <c r="D48" t="s">
        <v>63</v>
      </c>
      <c r="E48">
        <f>E47*B47/10000</f>
        <v>7.7166237766122373E-2</v>
      </c>
    </row>
    <row r="50" spans="1:9">
      <c r="A50" t="s">
        <v>62</v>
      </c>
    </row>
    <row r="51" spans="1:9">
      <c r="A51" t="s">
        <v>64</v>
      </c>
      <c r="D51">
        <f>F43+F44</f>
        <v>3.6229700112223276E-2</v>
      </c>
    </row>
    <row r="52" spans="1:9">
      <c r="A52" t="s">
        <v>57</v>
      </c>
      <c r="H52" s="5">
        <f>F47*B53/100</f>
        <v>77166.237766122373</v>
      </c>
      <c r="I52" t="s">
        <v>66</v>
      </c>
    </row>
    <row r="53" spans="1:9">
      <c r="B53" s="5">
        <v>100000000</v>
      </c>
      <c r="G53" t="s">
        <v>67</v>
      </c>
      <c r="H53" s="5">
        <f>D51*B53/100</f>
        <v>36229.700112223276</v>
      </c>
      <c r="I53" t="s">
        <v>68</v>
      </c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56"/>
  <sheetViews>
    <sheetView tabSelected="1" topLeftCell="A16" workbookViewId="0">
      <selection activeCell="D36" sqref="D36"/>
    </sheetView>
  </sheetViews>
  <sheetFormatPr baseColWidth="10" defaultRowHeight="13"/>
  <cols>
    <col min="7" max="7" width="13.28515625" customWidth="1"/>
  </cols>
  <sheetData>
    <row r="1" spans="1:7">
      <c r="A1" t="s">
        <v>1</v>
      </c>
      <c r="C1">
        <v>0.04</v>
      </c>
    </row>
    <row r="2" spans="1:7">
      <c r="A2" t="s">
        <v>2</v>
      </c>
      <c r="C2">
        <f>EXP(C1)-1</f>
        <v>4.0810774192388211E-2</v>
      </c>
    </row>
    <row r="4" spans="1:7">
      <c r="C4">
        <v>0.122432</v>
      </c>
      <c r="D4" t="s">
        <v>9</v>
      </c>
    </row>
    <row r="6" spans="1:7">
      <c r="A6" t="s">
        <v>3</v>
      </c>
    </row>
    <row r="7" spans="1:7">
      <c r="A7" t="s">
        <v>4</v>
      </c>
    </row>
    <row r="9" spans="1:7">
      <c r="A9" t="s">
        <v>5</v>
      </c>
    </row>
    <row r="11" spans="1:7">
      <c r="A11" t="s">
        <v>6</v>
      </c>
    </row>
    <row r="13" spans="1:7">
      <c r="A13" t="s">
        <v>7</v>
      </c>
      <c r="B13">
        <v>0</v>
      </c>
      <c r="C13">
        <v>1</v>
      </c>
      <c r="D13">
        <v>2</v>
      </c>
      <c r="E13">
        <v>3</v>
      </c>
      <c r="F13">
        <v>4</v>
      </c>
      <c r="G13">
        <v>5</v>
      </c>
    </row>
    <row r="14" spans="1:7">
      <c r="A14" t="s">
        <v>8</v>
      </c>
      <c r="B14">
        <v>-300</v>
      </c>
      <c r="C14">
        <f>300*$C$2</f>
        <v>12.243232257716464</v>
      </c>
      <c r="D14">
        <f t="shared" ref="D14:F14" si="0">300*$C$2</f>
        <v>12.243232257716464</v>
      </c>
      <c r="E14">
        <f t="shared" si="0"/>
        <v>12.243232257716464</v>
      </c>
      <c r="F14">
        <f t="shared" si="0"/>
        <v>12.243232257716464</v>
      </c>
      <c r="G14">
        <f>300*(1+C2)</f>
        <v>312.24323225771644</v>
      </c>
    </row>
    <row r="16" spans="1:7">
      <c r="A16" t="s">
        <v>10</v>
      </c>
    </row>
    <row r="17" spans="1:9">
      <c r="A17" t="s">
        <v>8</v>
      </c>
      <c r="B17">
        <v>300</v>
      </c>
      <c r="C17">
        <f>-C14</f>
        <v>-12.243232257716464</v>
      </c>
      <c r="D17" s="1" t="s">
        <v>11</v>
      </c>
      <c r="E17" s="1" t="s">
        <v>14</v>
      </c>
      <c r="F17" s="1" t="s">
        <v>15</v>
      </c>
      <c r="G17" s="1" t="s">
        <v>12</v>
      </c>
      <c r="I17" t="s">
        <v>13</v>
      </c>
    </row>
    <row r="20" spans="1:9">
      <c r="A20" t="s">
        <v>46</v>
      </c>
    </row>
    <row r="22" spans="1:9">
      <c r="A22" t="s">
        <v>47</v>
      </c>
    </row>
    <row r="24" spans="1:9">
      <c r="A24" t="s">
        <v>48</v>
      </c>
      <c r="B24">
        <f>G24*EXP(-G13*C1)</f>
        <v>81.873075307798189</v>
      </c>
      <c r="G24">
        <v>100</v>
      </c>
    </row>
    <row r="26" spans="1:9">
      <c r="A26" t="s">
        <v>49</v>
      </c>
      <c r="C26">
        <f>B14+B17+B24</f>
        <v>81.873075307798189</v>
      </c>
      <c r="D26" t="s">
        <v>50</v>
      </c>
    </row>
    <row r="27" spans="1:9">
      <c r="D27" s="1" t="s">
        <v>51</v>
      </c>
    </row>
    <row r="29" spans="1:9">
      <c r="A29" t="s">
        <v>0</v>
      </c>
    </row>
    <row r="30" spans="1:9">
      <c r="A30" t="s">
        <v>44</v>
      </c>
    </row>
    <row r="32" spans="1:9">
      <c r="A32" t="s">
        <v>26</v>
      </c>
      <c r="E32">
        <v>1</v>
      </c>
      <c r="F32" t="s">
        <v>27</v>
      </c>
    </row>
    <row r="33" spans="1:7">
      <c r="A33" t="s">
        <v>28</v>
      </c>
      <c r="E33">
        <f>G13</f>
        <v>5</v>
      </c>
    </row>
    <row r="36" spans="1:7">
      <c r="A36" t="s">
        <v>29</v>
      </c>
    </row>
    <row r="37" spans="1:7">
      <c r="A37" t="s">
        <v>30</v>
      </c>
      <c r="C37">
        <f>EXP(-C13*$C$1)</f>
        <v>0.96078943915232318</v>
      </c>
      <c r="D37">
        <f t="shared" ref="D37:G37" si="1">EXP(-D13*$C$1)</f>
        <v>0.92311634638663576</v>
      </c>
      <c r="E37">
        <f t="shared" si="1"/>
        <v>0.88692043671715748</v>
      </c>
      <c r="F37">
        <f t="shared" si="1"/>
        <v>0.85214378896621135</v>
      </c>
      <c r="G37">
        <f t="shared" si="1"/>
        <v>0.81873075307798182</v>
      </c>
    </row>
    <row r="38" spans="1:7">
      <c r="A38" t="s">
        <v>31</v>
      </c>
      <c r="C38">
        <f>C37*C14</f>
        <v>11.763168254303032</v>
      </c>
      <c r="D38">
        <f t="shared" ref="D38:G38" si="2">D37*D14</f>
        <v>11.301927829706225</v>
      </c>
      <c r="E38">
        <f t="shared" si="2"/>
        <v>10.858772900843476</v>
      </c>
      <c r="F38">
        <f t="shared" si="2"/>
        <v>10.43299432528385</v>
      </c>
      <c r="G38">
        <f t="shared" si="2"/>
        <v>255.64313668986338</v>
      </c>
    </row>
    <row r="39" spans="1:7">
      <c r="B39">
        <f>SUM(C38:G38)</f>
        <v>299.99999999999994</v>
      </c>
      <c r="C39" t="s">
        <v>45</v>
      </c>
    </row>
    <row r="40" spans="1:7">
      <c r="A40" t="s">
        <v>33</v>
      </c>
      <c r="C40">
        <f>C38/$B$39</f>
        <v>3.9210560847676781E-2</v>
      </c>
      <c r="D40">
        <f t="shared" ref="D40:G40" si="3">D38/$B$39</f>
        <v>3.7673092765687421E-2</v>
      </c>
      <c r="E40">
        <f t="shared" si="3"/>
        <v>3.6195909669478263E-2</v>
      </c>
      <c r="F40">
        <f t="shared" si="3"/>
        <v>3.4776647750946174E-2</v>
      </c>
      <c r="G40">
        <f t="shared" si="3"/>
        <v>0.85214378896621146</v>
      </c>
    </row>
    <row r="41" spans="1:7">
      <c r="B41">
        <f>SUM(C40:G40)</f>
        <v>1</v>
      </c>
    </row>
    <row r="42" spans="1:7">
      <c r="A42" t="s">
        <v>34</v>
      </c>
      <c r="C42">
        <f>C40*C13</f>
        <v>3.9210560847676781E-2</v>
      </c>
      <c r="D42">
        <f t="shared" ref="D42:G42" si="4">D40*D13</f>
        <v>7.5346185531374843E-2</v>
      </c>
      <c r="E42">
        <f t="shared" si="4"/>
        <v>0.10858772900843479</v>
      </c>
      <c r="F42">
        <f t="shared" si="4"/>
        <v>0.1391065910037847</v>
      </c>
      <c r="G42">
        <f t="shared" si="4"/>
        <v>4.2607189448310576</v>
      </c>
    </row>
    <row r="43" spans="1:7">
      <c r="B43" s="2">
        <f>SUM(C42:G42)</f>
        <v>4.6229700112223284</v>
      </c>
    </row>
    <row r="45" spans="1:7">
      <c r="A45" t="s">
        <v>35</v>
      </c>
    </row>
    <row r="46" spans="1:7">
      <c r="A46" t="s">
        <v>36</v>
      </c>
      <c r="B46" t="s">
        <v>37</v>
      </c>
      <c r="C46" t="s">
        <v>38</v>
      </c>
      <c r="D46" t="s">
        <v>39</v>
      </c>
      <c r="E46" t="s">
        <v>40</v>
      </c>
      <c r="F46" t="s">
        <v>65</v>
      </c>
    </row>
    <row r="47" spans="1:7">
      <c r="A47" t="s">
        <v>41</v>
      </c>
      <c r="B47">
        <v>-300</v>
      </c>
      <c r="C47">
        <f>B47/$B$51</f>
        <v>-3.6642082744805093</v>
      </c>
      <c r="D47">
        <v>1</v>
      </c>
      <c r="E47">
        <f>C47*D47</f>
        <v>-3.6642082744805093</v>
      </c>
      <c r="F47">
        <f>D47*B47/10000</f>
        <v>-0.03</v>
      </c>
    </row>
    <row r="48" spans="1:7">
      <c r="A48" t="s">
        <v>42</v>
      </c>
      <c r="B48">
        <v>300</v>
      </c>
      <c r="C48">
        <f t="shared" ref="C48:C49" si="5">B48/$B$51</f>
        <v>3.6642082744805093</v>
      </c>
      <c r="D48">
        <f>B43</f>
        <v>4.6229700112223284</v>
      </c>
      <c r="E48">
        <f t="shared" ref="E48:E49" si="6">C48*D48</f>
        <v>16.93952496779611</v>
      </c>
      <c r="F48">
        <f t="shared" ref="F48:F49" si="7">D48*B48/10000</f>
        <v>0.13868910033666984</v>
      </c>
    </row>
    <row r="49" spans="1:6">
      <c r="A49" t="s">
        <v>43</v>
      </c>
      <c r="B49">
        <f>C26</f>
        <v>81.873075307798189</v>
      </c>
      <c r="C49">
        <f t="shared" si="5"/>
        <v>1</v>
      </c>
      <c r="D49">
        <v>5</v>
      </c>
      <c r="E49">
        <f t="shared" si="6"/>
        <v>5</v>
      </c>
      <c r="F49">
        <f t="shared" si="7"/>
        <v>4.0936537653899097E-2</v>
      </c>
    </row>
    <row r="51" spans="1:6">
      <c r="B51">
        <f>SUM(B47:B49)</f>
        <v>81.873075307798189</v>
      </c>
      <c r="E51" s="2">
        <f>SUM(E47:E49)</f>
        <v>18.275316693315602</v>
      </c>
      <c r="F51" s="2">
        <f>SUM(F47:F49)</f>
        <v>0.14962563799056894</v>
      </c>
    </row>
    <row r="54" spans="1:6">
      <c r="A54" t="s">
        <v>16</v>
      </c>
    </row>
    <row r="55" spans="1:6">
      <c r="A55" t="s">
        <v>17</v>
      </c>
    </row>
    <row r="56" spans="1:6">
      <c r="A56" t="s">
        <v>18</v>
      </c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24"/>
  <sheetViews>
    <sheetView workbookViewId="0">
      <selection activeCell="D25" sqref="D25"/>
    </sheetView>
  </sheetViews>
  <sheetFormatPr baseColWidth="10" defaultRowHeight="13"/>
  <cols>
    <col min="3" max="3" width="13.85546875" customWidth="1"/>
    <col min="4" max="4" width="17.140625" bestFit="1" customWidth="1"/>
    <col min="5" max="5" width="11.85546875" bestFit="1" customWidth="1"/>
    <col min="6" max="6" width="12.5703125" customWidth="1"/>
  </cols>
  <sheetData>
    <row r="1" spans="1:7">
      <c r="A1" t="s">
        <v>19</v>
      </c>
    </row>
    <row r="2" spans="1:7">
      <c r="A2" t="s">
        <v>20</v>
      </c>
      <c r="D2" s="3">
        <v>70000000</v>
      </c>
      <c r="E2" t="s">
        <v>21</v>
      </c>
      <c r="F2" s="3">
        <v>1250000000</v>
      </c>
      <c r="G2" t="s">
        <v>22</v>
      </c>
    </row>
    <row r="3" spans="1:7">
      <c r="B3" t="s">
        <v>81</v>
      </c>
    </row>
    <row r="5" spans="1:7">
      <c r="A5" t="s">
        <v>23</v>
      </c>
      <c r="C5" s="3"/>
    </row>
    <row r="6" spans="1:7">
      <c r="C6" t="s">
        <v>24</v>
      </c>
      <c r="D6" s="4">
        <f>LN(E6)-LN(F2)</f>
        <v>-5.7629112836636409E-2</v>
      </c>
      <c r="E6" s="3">
        <f>F2-D2</f>
        <v>1180000000</v>
      </c>
    </row>
    <row r="7" spans="1:7">
      <c r="C7" t="s">
        <v>25</v>
      </c>
      <c r="D7">
        <v>4.0000000000000001E-3</v>
      </c>
    </row>
    <row r="8" spans="1:7">
      <c r="C8" t="s">
        <v>69</v>
      </c>
      <c r="D8">
        <f>-D6/D7</f>
        <v>14.407278209159102</v>
      </c>
    </row>
    <row r="12" spans="1:7">
      <c r="A12" t="s">
        <v>70</v>
      </c>
    </row>
    <row r="13" spans="1:7">
      <c r="B13" t="s">
        <v>71</v>
      </c>
      <c r="C13">
        <f>IF!E47</f>
        <v>9.4251055644385318</v>
      </c>
    </row>
    <row r="14" spans="1:7">
      <c r="B14" t="s">
        <v>72</v>
      </c>
      <c r="C14">
        <f>LIF!E51</f>
        <v>18.275316693315602</v>
      </c>
    </row>
    <row r="16" spans="1:7">
      <c r="A16" t="s">
        <v>73</v>
      </c>
      <c r="C16" t="s">
        <v>74</v>
      </c>
    </row>
    <row r="17" spans="1:9">
      <c r="C17" t="s">
        <v>75</v>
      </c>
    </row>
    <row r="18" spans="1:9">
      <c r="C18" t="s">
        <v>76</v>
      </c>
      <c r="D18">
        <f>(D8-LIF!E51)/(IF!E47-LIF!E51)</f>
        <v>0.43705606881349995</v>
      </c>
    </row>
    <row r="19" spans="1:9">
      <c r="A19" t="s">
        <v>77</v>
      </c>
      <c r="D19" s="3">
        <f>D18*F2</f>
        <v>546320086.01687491</v>
      </c>
      <c r="E19" s="3" t="s">
        <v>80</v>
      </c>
      <c r="I19" s="3"/>
    </row>
    <row r="20" spans="1:9">
      <c r="C20" t="s">
        <v>78</v>
      </c>
      <c r="D20" s="3">
        <f>F2-D19</f>
        <v>703679913.98312509</v>
      </c>
      <c r="E20" t="s">
        <v>79</v>
      </c>
      <c r="I20" s="3"/>
    </row>
    <row r="21" spans="1:9">
      <c r="I21" s="3"/>
    </row>
    <row r="22" spans="1:9">
      <c r="C22" t="s">
        <v>82</v>
      </c>
      <c r="D22">
        <f>D18*C13+(1-D18)*C14</f>
        <v>14.407278209159104</v>
      </c>
    </row>
    <row r="24" spans="1:9">
      <c r="D24" s="3"/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IF</vt:lpstr>
      <vt:lpstr>LIF</vt:lpstr>
      <vt:lpstr>Forensics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2019-10-21T22:33:47Z</dcterms:created>
  <dcterms:modified xsi:type="dcterms:W3CDTF">2019-10-22T14:59:37Z</dcterms:modified>
</cp:coreProperties>
</file>