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imOne\Documents\Chris\542\"/>
    </mc:Choice>
  </mc:AlternateContent>
  <bookViews>
    <workbookView xWindow="0" yWindow="0" windowWidth="41280" windowHeight="13704" tabRatio="500" activeTab="4"/>
  </bookViews>
  <sheets>
    <sheet name="1a " sheetId="2" r:id="rId1"/>
    <sheet name="1b" sheetId="1" r:id="rId2"/>
    <sheet name="1c" sheetId="3" r:id="rId3"/>
    <sheet name="2a" sheetId="4" r:id="rId4"/>
    <sheet name="3" sheetId="5" r:id="rId5"/>
    <sheet name="4" sheetId="6" r:id="rId6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2" i="5" l="1"/>
  <c r="D12" i="6"/>
  <c r="L18" i="6"/>
  <c r="C3" i="2"/>
  <c r="D27" i="2" s="1"/>
  <c r="E33" i="2" s="1"/>
  <c r="L18" i="2" s="1"/>
  <c r="G28" i="2"/>
  <c r="G29" i="2"/>
  <c r="G30" i="2"/>
  <c r="G31" i="2"/>
  <c r="G32" i="2"/>
  <c r="C4" i="2"/>
  <c r="G6" i="2"/>
  <c r="G7" i="2"/>
  <c r="G8" i="2"/>
  <c r="G9" i="2"/>
  <c r="G10" i="2" s="1"/>
  <c r="D12" i="2" s="1"/>
  <c r="B16" i="2" s="1"/>
  <c r="G6" i="1"/>
  <c r="G7" i="1"/>
  <c r="G8" i="1"/>
  <c r="G10" i="1" s="1"/>
  <c r="G9" i="1"/>
  <c r="D27" i="1"/>
  <c r="G28" i="1"/>
  <c r="G29" i="1"/>
  <c r="G30" i="1"/>
  <c r="G31" i="1"/>
  <c r="G32" i="1"/>
  <c r="E33" i="1" s="1"/>
  <c r="L18" i="1" s="1"/>
  <c r="C4" i="1"/>
  <c r="C3" i="1"/>
  <c r="D27" i="3"/>
  <c r="G28" i="3"/>
  <c r="G29" i="3"/>
  <c r="G30" i="3"/>
  <c r="G31" i="3"/>
  <c r="G32" i="3" s="1"/>
  <c r="E33" i="3" s="1"/>
  <c r="L18" i="3" s="1"/>
  <c r="C4" i="3"/>
  <c r="G6" i="3"/>
  <c r="G8" i="3" s="1"/>
  <c r="G10" i="3" s="1"/>
  <c r="G7" i="3"/>
  <c r="G9" i="3"/>
  <c r="C3" i="3"/>
  <c r="G6" i="4"/>
  <c r="G8" i="4" s="1"/>
  <c r="G10" i="4" s="1"/>
  <c r="D12" i="4" s="1"/>
  <c r="B22" i="4" s="1"/>
  <c r="G7" i="4"/>
  <c r="G9" i="4"/>
  <c r="C3" i="4"/>
  <c r="D38" i="4"/>
  <c r="G39" i="4"/>
  <c r="G40" i="4"/>
  <c r="G41" i="4"/>
  <c r="G42" i="4"/>
  <c r="G43" i="4"/>
  <c r="E44" i="4" s="1"/>
  <c r="L24" i="4" s="1"/>
  <c r="C4" i="4"/>
  <c r="G6" i="5"/>
  <c r="G8" i="5" s="1"/>
  <c r="G10" i="5" s="1"/>
  <c r="G7" i="5"/>
  <c r="G9" i="5"/>
  <c r="C4" i="5"/>
  <c r="B16" i="5" s="1"/>
  <c r="C3" i="5"/>
  <c r="D27" i="5" s="1"/>
  <c r="G28" i="5"/>
  <c r="G29" i="5"/>
  <c r="G30" i="5"/>
  <c r="G32" i="5" s="1"/>
  <c r="G31" i="5"/>
  <c r="C3" i="6"/>
  <c r="G28" i="6"/>
  <c r="G29" i="6"/>
  <c r="G30" i="6"/>
  <c r="G32" i="6" s="1"/>
  <c r="G31" i="6"/>
  <c r="C4" i="6"/>
  <c r="D27" i="6" s="1"/>
  <c r="G6" i="6"/>
  <c r="G7" i="6"/>
  <c r="G8" i="6"/>
  <c r="G9" i="6"/>
  <c r="G10" i="6"/>
  <c r="B16" i="6" s="1"/>
  <c r="I16" i="5" l="1"/>
  <c r="H16" i="5"/>
  <c r="G16" i="5"/>
  <c r="K16" i="5"/>
  <c r="F16" i="5"/>
  <c r="C16" i="5"/>
  <c r="E16" i="5"/>
  <c r="L16" i="5"/>
  <c r="D16" i="5"/>
  <c r="J16" i="5"/>
  <c r="D12" i="1"/>
  <c r="B16" i="1" s="1"/>
  <c r="C16" i="2"/>
  <c r="C23" i="2" s="1"/>
  <c r="K16" i="2"/>
  <c r="D16" i="2"/>
  <c r="L16" i="2"/>
  <c r="E16" i="2"/>
  <c r="F16" i="2"/>
  <c r="G16" i="2"/>
  <c r="H16" i="2"/>
  <c r="I16" i="2"/>
  <c r="J16" i="2"/>
  <c r="E16" i="6"/>
  <c r="L16" i="6"/>
  <c r="D16" i="6"/>
  <c r="G16" i="6"/>
  <c r="K16" i="6"/>
  <c r="C16" i="6"/>
  <c r="J16" i="6"/>
  <c r="I16" i="6"/>
  <c r="H16" i="6"/>
  <c r="F16" i="6"/>
  <c r="D12" i="3"/>
  <c r="B16" i="3" s="1"/>
  <c r="E33" i="6"/>
  <c r="K15" i="4"/>
  <c r="C31" i="4" s="1"/>
  <c r="H22" i="4"/>
  <c r="H15" i="4"/>
  <c r="K22" i="4"/>
  <c r="L22" i="4"/>
  <c r="E33" i="5"/>
  <c r="L18" i="5" s="1"/>
  <c r="G22" i="4" l="1"/>
  <c r="J22" i="4"/>
  <c r="G16" i="1"/>
  <c r="C16" i="1"/>
  <c r="C23" i="1" s="1"/>
  <c r="D16" i="1"/>
  <c r="L16" i="1"/>
  <c r="E16" i="1"/>
  <c r="K16" i="1"/>
  <c r="F16" i="1"/>
  <c r="H16" i="1"/>
  <c r="J16" i="1"/>
  <c r="I16" i="1"/>
  <c r="C23" i="6"/>
  <c r="E22" i="4"/>
  <c r="F22" i="4"/>
  <c r="D16" i="3"/>
  <c r="L16" i="3"/>
  <c r="E16" i="3"/>
  <c r="F16" i="3"/>
  <c r="G16" i="3"/>
  <c r="J16" i="3"/>
  <c r="H16" i="3"/>
  <c r="I16" i="3"/>
  <c r="C16" i="3"/>
  <c r="C23" i="3" s="1"/>
  <c r="K16" i="3"/>
  <c r="C22" i="4"/>
  <c r="D22" i="4"/>
  <c r="C23" i="5"/>
  <c r="I22" i="4"/>
  <c r="C30" i="4" l="1"/>
</calcChain>
</file>

<file path=xl/sharedStrings.xml><?xml version="1.0" encoding="utf-8"?>
<sst xmlns="http://schemas.openxmlformats.org/spreadsheetml/2006/main" count="282" uniqueCount="57">
  <si>
    <t xml:space="preserve">borrow it in </t>
    <phoneticPr fontId="2" type="noConversion"/>
  </si>
  <si>
    <t>repo -- post</t>
    <phoneticPr fontId="2" type="noConversion"/>
  </si>
  <si>
    <t>Earn Repo Int</t>
    <phoneticPr fontId="2" type="noConversion"/>
  </si>
  <si>
    <t>Buy note</t>
    <phoneticPr fontId="2" type="noConversion"/>
  </si>
  <si>
    <t>Cash Price to Buy:</t>
    <phoneticPr fontId="2" type="noConversion"/>
  </si>
  <si>
    <t>So in this case a we make a loss because the yield curve is upward sloping.  We pay the yield to maturity on the note and earn the overnight repo rate over the holding period.</t>
    <phoneticPr fontId="2" type="noConversion"/>
  </si>
  <si>
    <t>This security is trading on special in repo.</t>
    <phoneticPr fontId="2" type="noConversion"/>
  </si>
  <si>
    <t xml:space="preserve">  Sepcialness is:</t>
    <phoneticPr fontId="2" type="noConversion"/>
  </si>
  <si>
    <t>The note is more costly to short, since it is trading on special.</t>
    <phoneticPr fontId="2" type="noConversion"/>
  </si>
  <si>
    <t>Clean Ask quote:</t>
    <phoneticPr fontId="2" type="noConversion"/>
  </si>
  <si>
    <t>Clean Bid quote:</t>
    <phoneticPr fontId="2" type="noConversion"/>
  </si>
  <si>
    <t>specialness.</t>
    <phoneticPr fontId="2" type="noConversion"/>
  </si>
  <si>
    <t>Cost of tying up the firm's collateral:</t>
    <phoneticPr fontId="2" type="noConversion"/>
  </si>
  <si>
    <t xml:space="preserve">  This will be a function of the kind of shop we are, and what we promise to our clients, etc.  It should reflect the target rate of return on capital.  In this case I am using 10%.</t>
    <phoneticPr fontId="2" type="noConversion"/>
  </si>
  <si>
    <t>--- We should change this to do sensitivity analysis.</t>
    <phoneticPr fontId="2" type="noConversion"/>
  </si>
  <si>
    <t xml:space="preserve">  Less cost of tying up capital:</t>
    <phoneticPr fontId="2" type="noConversion"/>
  </si>
  <si>
    <t>So in this case a we make a profit because the yield curve is upward sloping.  We earn the yield to maturity on the note and pay the overnight repo rate over the holding period.</t>
    <phoneticPr fontId="2" type="noConversion"/>
  </si>
  <si>
    <t>So in this case a we make a loss.</t>
    <phoneticPr fontId="2" type="noConversion"/>
  </si>
  <si>
    <t xml:space="preserve">  The haircut does not cut into the profits too much because it is only 2% of the position.</t>
    <phoneticPr fontId="2" type="noConversion"/>
  </si>
  <si>
    <t>repo receive 98%</t>
    <phoneticPr fontId="2" type="noConversion"/>
  </si>
  <si>
    <t>Of course this means that the amount of our repo loan will be smaller, so the interest paid on repo</t>
    <phoneticPr fontId="2" type="noConversion"/>
  </si>
  <si>
    <t xml:space="preserve">   is lower than in the initial case.</t>
    <phoneticPr fontId="2" type="noConversion"/>
  </si>
  <si>
    <t>Cash Price to sell:</t>
    <phoneticPr fontId="2" type="noConversion"/>
  </si>
  <si>
    <t xml:space="preserve">Sell note and </t>
    <phoneticPr fontId="2" type="noConversion"/>
  </si>
  <si>
    <t>The main effect is due to a upward shift in the yield curve after 1 week, so the value of the bond falls.</t>
    <phoneticPr fontId="2" type="noConversion"/>
  </si>
  <si>
    <t>A haircut means that we have to post some of the firm's capital as collateral in repo.</t>
    <phoneticPr fontId="2" type="noConversion"/>
  </si>
  <si>
    <t>We'll buy 100 million of securities, so the amount of cash we will receive from repo:</t>
    <phoneticPr fontId="2" type="noConversion"/>
  </si>
  <si>
    <t xml:space="preserve">  which means we need </t>
    <phoneticPr fontId="2" type="noConversion"/>
  </si>
  <si>
    <t xml:space="preserve"> of firm capital.</t>
    <phoneticPr fontId="2" type="noConversion"/>
  </si>
  <si>
    <t>T-Note</t>
    <phoneticPr fontId="2" type="noConversion"/>
  </si>
  <si>
    <t>Settle:</t>
    <phoneticPr fontId="2" type="noConversion"/>
  </si>
  <si>
    <t xml:space="preserve">  Issued:</t>
    <phoneticPr fontId="2" type="noConversion"/>
  </si>
  <si>
    <t>Bid</t>
    <phoneticPr fontId="2" type="noConversion"/>
  </si>
  <si>
    <t>Ask</t>
    <phoneticPr fontId="2" type="noConversion"/>
  </si>
  <si>
    <t>AI:</t>
    <phoneticPr fontId="2" type="noConversion"/>
  </si>
  <si>
    <t>Days between settlement and last coupon/issue:</t>
    <phoneticPr fontId="2" type="noConversion"/>
  </si>
  <si>
    <t>Days in coupon period:</t>
    <phoneticPr fontId="2" type="noConversion"/>
  </si>
  <si>
    <t xml:space="preserve">   Next Cpn:</t>
    <phoneticPr fontId="2" type="noConversion"/>
  </si>
  <si>
    <t>% of coupon period elapsed:</t>
    <phoneticPr fontId="2" type="noConversion"/>
  </si>
  <si>
    <t>$ Coupon:</t>
    <phoneticPr fontId="2" type="noConversion"/>
  </si>
  <si>
    <t>Cash Price to buy:</t>
    <phoneticPr fontId="2" type="noConversion"/>
  </si>
  <si>
    <t>repo</t>
    <phoneticPr fontId="2" type="noConversion"/>
  </si>
  <si>
    <t>Trade</t>
    <phoneticPr fontId="2" type="noConversion"/>
  </si>
  <si>
    <t>Settle</t>
    <phoneticPr fontId="2" type="noConversion"/>
  </si>
  <si>
    <t>Pay Repo Int</t>
    <phoneticPr fontId="2" type="noConversion"/>
  </si>
  <si>
    <t>Post note as</t>
    <phoneticPr fontId="2" type="noConversion"/>
  </si>
  <si>
    <t>collateral in</t>
    <phoneticPr fontId="2" type="noConversion"/>
  </si>
  <si>
    <t>repo receive</t>
    <phoneticPr fontId="2" type="noConversion"/>
  </si>
  <si>
    <t>cash in xchng</t>
    <phoneticPr fontId="2" type="noConversion"/>
  </si>
  <si>
    <t>Sell Note</t>
    <phoneticPr fontId="2" type="noConversion"/>
  </si>
  <si>
    <t>Sell note on 12/18/19</t>
    <phoneticPr fontId="2" type="noConversion"/>
  </si>
  <si>
    <t>Settle:</t>
    <phoneticPr fontId="2" type="noConversion"/>
  </si>
  <si>
    <t>Clean Bid quote:</t>
    <phoneticPr fontId="2" type="noConversion"/>
  </si>
  <si>
    <t>Cash Price to Sell:</t>
    <phoneticPr fontId="2" type="noConversion"/>
  </si>
  <si>
    <t>Total Net Cash Flow:</t>
    <phoneticPr fontId="2" type="noConversion"/>
  </si>
  <si>
    <t>Plus --and this is an even bigger effect, there is a downward shift in the yield curve after 1 week, so we profit from an increase in the value of the bond, and lower financing costs.</t>
    <phoneticPr fontId="2" type="noConversion"/>
  </si>
  <si>
    <t>Compare the loss here to the loss in Question 3a -- we lose an additional $188,000 thanks to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</si>
</sst>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0" fontId="0" fillId="0" borderId="0" xfId="0" quotePrefix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6"/>
  <sheetViews>
    <sheetView workbookViewId="0">
      <selection activeCell="A37" sqref="A37"/>
    </sheetView>
  </sheetViews>
  <sheetFormatPr defaultColWidth="10.90625" defaultRowHeight="12.6" x14ac:dyDescent="0.2"/>
  <cols>
    <col min="2" max="2" width="12.453125" customWidth="1"/>
    <col min="7" max="7" width="13.26953125" customWidth="1"/>
    <col min="12" max="12" width="11.54296875" customWidth="1"/>
  </cols>
  <sheetData>
    <row r="1" spans="1:12" x14ac:dyDescent="0.2">
      <c r="A1">
        <v>1</v>
      </c>
      <c r="B1" t="s">
        <v>30</v>
      </c>
      <c r="C1" s="1">
        <v>42341</v>
      </c>
      <c r="F1" t="s">
        <v>41</v>
      </c>
      <c r="G1">
        <v>0.03</v>
      </c>
    </row>
    <row r="2" spans="1:12" x14ac:dyDescent="0.2">
      <c r="B2" t="s">
        <v>29</v>
      </c>
      <c r="C2">
        <v>5.5E-2</v>
      </c>
      <c r="D2" t="s">
        <v>31</v>
      </c>
      <c r="E2" s="1">
        <v>42322</v>
      </c>
      <c r="F2" t="s">
        <v>42</v>
      </c>
      <c r="G2" s="3">
        <v>100000000</v>
      </c>
    </row>
    <row r="3" spans="1:12" x14ac:dyDescent="0.2">
      <c r="B3" t="s">
        <v>32</v>
      </c>
      <c r="C3">
        <f>98+3/32</f>
        <v>98.09375</v>
      </c>
      <c r="D3" t="s">
        <v>37</v>
      </c>
      <c r="E3" s="1">
        <v>42504</v>
      </c>
    </row>
    <row r="4" spans="1:12" x14ac:dyDescent="0.2">
      <c r="B4" t="s">
        <v>33</v>
      </c>
      <c r="C4">
        <f>98+3.5/32</f>
        <v>98.109375</v>
      </c>
    </row>
    <row r="6" spans="1:12" x14ac:dyDescent="0.2">
      <c r="B6" t="s">
        <v>34</v>
      </c>
      <c r="C6" t="s">
        <v>35</v>
      </c>
      <c r="G6" s="2">
        <f>C1-E2</f>
        <v>19</v>
      </c>
    </row>
    <row r="7" spans="1:12" x14ac:dyDescent="0.2">
      <c r="C7" t="s">
        <v>36</v>
      </c>
      <c r="G7" s="2">
        <f>E3-E2</f>
        <v>182</v>
      </c>
    </row>
    <row r="8" spans="1:12" x14ac:dyDescent="0.2">
      <c r="C8" t="s">
        <v>38</v>
      </c>
      <c r="G8">
        <f>G6/G7</f>
        <v>0.1043956043956044</v>
      </c>
    </row>
    <row r="9" spans="1:12" x14ac:dyDescent="0.2">
      <c r="C9" t="s">
        <v>39</v>
      </c>
      <c r="G9">
        <f>50*C2</f>
        <v>2.75</v>
      </c>
    </row>
    <row r="10" spans="1:12" x14ac:dyDescent="0.2">
      <c r="C10" t="s">
        <v>34</v>
      </c>
      <c r="G10">
        <f>G8*G9</f>
        <v>0.28708791208791212</v>
      </c>
    </row>
    <row r="12" spans="1:12" x14ac:dyDescent="0.2">
      <c r="B12" t="s">
        <v>40</v>
      </c>
      <c r="D12">
        <f>C4+G10</f>
        <v>98.396462912087912</v>
      </c>
    </row>
    <row r="14" spans="1:12" x14ac:dyDescent="0.2">
      <c r="A14" s="1">
        <v>42340</v>
      </c>
      <c r="B14" s="1">
        <v>42341</v>
      </c>
      <c r="C14" s="1">
        <v>42342</v>
      </c>
      <c r="D14" s="1">
        <v>42343</v>
      </c>
      <c r="E14" s="1">
        <v>42346</v>
      </c>
      <c r="F14" s="1">
        <v>42347</v>
      </c>
      <c r="G14" s="1">
        <v>42348</v>
      </c>
      <c r="H14" s="1">
        <v>42349</v>
      </c>
      <c r="I14" s="1">
        <v>42350</v>
      </c>
      <c r="J14" s="1">
        <v>42353</v>
      </c>
      <c r="K14" s="1">
        <v>42354</v>
      </c>
      <c r="L14" s="1">
        <v>42355</v>
      </c>
    </row>
    <row r="15" spans="1:12" x14ac:dyDescent="0.2">
      <c r="A15" t="s">
        <v>42</v>
      </c>
      <c r="B15" t="s">
        <v>43</v>
      </c>
      <c r="C15" t="s">
        <v>44</v>
      </c>
      <c r="D15" t="s">
        <v>44</v>
      </c>
      <c r="E15" t="s">
        <v>44</v>
      </c>
      <c r="F15" t="s">
        <v>44</v>
      </c>
      <c r="G15" t="s">
        <v>44</v>
      </c>
      <c r="H15" t="s">
        <v>44</v>
      </c>
      <c r="I15" t="s">
        <v>44</v>
      </c>
      <c r="J15" t="s">
        <v>44</v>
      </c>
      <c r="K15" t="s">
        <v>44</v>
      </c>
      <c r="L15" t="s">
        <v>44</v>
      </c>
    </row>
    <row r="16" spans="1:12" x14ac:dyDescent="0.2">
      <c r="B16" s="3">
        <f>-G2*D12/100</f>
        <v>-98396462.912087917</v>
      </c>
      <c r="C16" s="3">
        <f>-$G$1/360*ABS($B$16)</f>
        <v>-8199.705242673992</v>
      </c>
      <c r="D16" s="3">
        <f>-$G$1/360*ABS($B$16)</f>
        <v>-8199.705242673992</v>
      </c>
      <c r="E16" s="3">
        <f>-$G$1*3/360*ABS($B$16)</f>
        <v>-24599.115728021981</v>
      </c>
      <c r="F16" s="3">
        <f>-$G$1/360*ABS($B$16)</f>
        <v>-8199.705242673992</v>
      </c>
      <c r="G16" s="3">
        <f>-$G$1/360*ABS($B$16)</f>
        <v>-8199.705242673992</v>
      </c>
      <c r="H16" s="3">
        <f>-$G$1/360*ABS($B$16)</f>
        <v>-8199.705242673992</v>
      </c>
      <c r="I16" s="3">
        <f>-$G$1/360*ABS($B$16)</f>
        <v>-8199.705242673992</v>
      </c>
      <c r="J16" s="3">
        <f>-$G$1*3/360*ABS($B$16)</f>
        <v>-24599.115728021981</v>
      </c>
      <c r="K16" s="3">
        <f>-$G$1/360*ABS($B$16)</f>
        <v>-8199.705242673992</v>
      </c>
      <c r="L16" s="3">
        <f>-$G$1/360*ABS($B$16)</f>
        <v>-8199.705242673992</v>
      </c>
    </row>
    <row r="17" spans="1:12" x14ac:dyDescent="0.2">
      <c r="B17" t="s">
        <v>45</v>
      </c>
      <c r="L17" t="s">
        <v>49</v>
      </c>
    </row>
    <row r="18" spans="1:12" x14ac:dyDescent="0.2">
      <c r="B18" t="s">
        <v>46</v>
      </c>
      <c r="L18" s="3">
        <f>E33/100*G2</f>
        <v>98607486.263736263</v>
      </c>
    </row>
    <row r="19" spans="1:12" x14ac:dyDescent="0.2">
      <c r="B19" t="s">
        <v>47</v>
      </c>
    </row>
    <row r="20" spans="1:12" x14ac:dyDescent="0.2">
      <c r="B20" t="s">
        <v>48</v>
      </c>
    </row>
    <row r="23" spans="1:12" x14ac:dyDescent="0.2">
      <c r="A23" s="3" t="s">
        <v>54</v>
      </c>
      <c r="C23" s="4">
        <f>SUM(B16:L16)+L18</f>
        <v>96227.478250876069</v>
      </c>
    </row>
    <row r="26" spans="1:12" x14ac:dyDescent="0.2">
      <c r="A26" t="s">
        <v>50</v>
      </c>
      <c r="C26" t="s">
        <v>51</v>
      </c>
      <c r="D26" s="1">
        <v>42356</v>
      </c>
    </row>
    <row r="27" spans="1:12" x14ac:dyDescent="0.2">
      <c r="B27" t="s">
        <v>52</v>
      </c>
      <c r="D27">
        <f>C3</f>
        <v>98.09375</v>
      </c>
    </row>
    <row r="28" spans="1:12" x14ac:dyDescent="0.2">
      <c r="B28" t="s">
        <v>34</v>
      </c>
      <c r="C28" t="s">
        <v>35</v>
      </c>
      <c r="G28" s="2">
        <f>D26-E2</f>
        <v>34</v>
      </c>
    </row>
    <row r="29" spans="1:12" x14ac:dyDescent="0.2">
      <c r="C29" t="s">
        <v>36</v>
      </c>
      <c r="G29" s="2">
        <f>E3-E2</f>
        <v>182</v>
      </c>
    </row>
    <row r="30" spans="1:12" x14ac:dyDescent="0.2">
      <c r="C30" t="s">
        <v>38</v>
      </c>
      <c r="G30">
        <f>G28/G29</f>
        <v>0.18681318681318682</v>
      </c>
    </row>
    <row r="31" spans="1:12" x14ac:dyDescent="0.2">
      <c r="C31" t="s">
        <v>39</v>
      </c>
      <c r="G31">
        <f>50*C2</f>
        <v>2.75</v>
      </c>
    </row>
    <row r="32" spans="1:12" x14ac:dyDescent="0.2">
      <c r="C32" t="s">
        <v>34</v>
      </c>
      <c r="G32">
        <f>G30*G31</f>
        <v>0.51373626373626369</v>
      </c>
    </row>
    <row r="33" spans="1:5" x14ac:dyDescent="0.2">
      <c r="C33" t="s">
        <v>53</v>
      </c>
      <c r="E33">
        <f>D27+G32</f>
        <v>98.607486263736263</v>
      </c>
    </row>
    <row r="36" spans="1:5" x14ac:dyDescent="0.2">
      <c r="A36" t="s">
        <v>16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7"/>
  <sheetViews>
    <sheetView workbookViewId="0">
      <selection activeCell="A37" sqref="A37"/>
    </sheetView>
  </sheetViews>
  <sheetFormatPr defaultColWidth="10.90625" defaultRowHeight="12.6" x14ac:dyDescent="0.2"/>
  <cols>
    <col min="2" max="2" width="12.453125" bestFit="1" customWidth="1"/>
    <col min="3" max="3" width="13.1796875" customWidth="1"/>
    <col min="7" max="7" width="13.26953125" customWidth="1"/>
    <col min="12" max="12" width="15.7265625" customWidth="1"/>
  </cols>
  <sheetData>
    <row r="1" spans="1:12" x14ac:dyDescent="0.2">
      <c r="A1">
        <v>1</v>
      </c>
      <c r="B1" t="s">
        <v>30</v>
      </c>
      <c r="C1" s="1">
        <v>42341</v>
      </c>
      <c r="F1" t="s">
        <v>41</v>
      </c>
      <c r="G1">
        <v>0.03</v>
      </c>
    </row>
    <row r="2" spans="1:12" x14ac:dyDescent="0.2">
      <c r="B2" t="s">
        <v>29</v>
      </c>
      <c r="C2">
        <v>5.5E-2</v>
      </c>
      <c r="D2" t="s">
        <v>31</v>
      </c>
      <c r="E2" s="1">
        <v>42322</v>
      </c>
      <c r="F2" t="s">
        <v>42</v>
      </c>
      <c r="G2" s="3">
        <v>100000000</v>
      </c>
    </row>
    <row r="3" spans="1:12" x14ac:dyDescent="0.2">
      <c r="B3" t="s">
        <v>32</v>
      </c>
      <c r="C3">
        <f>98+3/32</f>
        <v>98.09375</v>
      </c>
      <c r="D3" t="s">
        <v>37</v>
      </c>
      <c r="E3" s="1">
        <v>42504</v>
      </c>
    </row>
    <row r="4" spans="1:12" x14ac:dyDescent="0.2">
      <c r="B4" t="s">
        <v>33</v>
      </c>
      <c r="C4">
        <f>98+3.5/32</f>
        <v>98.109375</v>
      </c>
    </row>
    <row r="6" spans="1:12" x14ac:dyDescent="0.2">
      <c r="B6" t="s">
        <v>34</v>
      </c>
      <c r="C6" t="s">
        <v>35</v>
      </c>
      <c r="G6" s="2">
        <f>C1-E2</f>
        <v>19</v>
      </c>
    </row>
    <row r="7" spans="1:12" x14ac:dyDescent="0.2">
      <c r="C7" t="s">
        <v>36</v>
      </c>
      <c r="G7" s="2">
        <f>E3-E2</f>
        <v>182</v>
      </c>
    </row>
    <row r="8" spans="1:12" x14ac:dyDescent="0.2">
      <c r="C8" t="s">
        <v>38</v>
      </c>
      <c r="G8">
        <f>G6/G7</f>
        <v>0.1043956043956044</v>
      </c>
    </row>
    <row r="9" spans="1:12" x14ac:dyDescent="0.2">
      <c r="C9" t="s">
        <v>39</v>
      </c>
      <c r="G9">
        <f>50*C2</f>
        <v>2.75</v>
      </c>
    </row>
    <row r="10" spans="1:12" x14ac:dyDescent="0.2">
      <c r="C10" t="s">
        <v>34</v>
      </c>
      <c r="G10">
        <f>G8*G9</f>
        <v>0.28708791208791212</v>
      </c>
    </row>
    <row r="12" spans="1:12" x14ac:dyDescent="0.2">
      <c r="B12" t="s">
        <v>40</v>
      </c>
      <c r="D12">
        <f>C4+G10</f>
        <v>98.396462912087912</v>
      </c>
    </row>
    <row r="13" spans="1:12" x14ac:dyDescent="0.2">
      <c r="G13">
        <v>2.8000000000000001E-2</v>
      </c>
    </row>
    <row r="14" spans="1:12" x14ac:dyDescent="0.2">
      <c r="A14" s="1">
        <v>42340</v>
      </c>
      <c r="B14" s="1">
        <v>42341</v>
      </c>
      <c r="C14" s="1">
        <v>42342</v>
      </c>
      <c r="D14" s="1">
        <v>42343</v>
      </c>
      <c r="E14" s="1">
        <v>42346</v>
      </c>
      <c r="F14" s="1">
        <v>42347</v>
      </c>
      <c r="G14" s="1">
        <v>42348</v>
      </c>
      <c r="H14" s="1">
        <v>42349</v>
      </c>
      <c r="I14" s="1">
        <v>42350</v>
      </c>
      <c r="J14" s="1">
        <v>42353</v>
      </c>
      <c r="K14" s="1">
        <v>42354</v>
      </c>
      <c r="L14" s="1">
        <v>42355</v>
      </c>
    </row>
    <row r="15" spans="1:12" x14ac:dyDescent="0.2">
      <c r="A15" t="s">
        <v>42</v>
      </c>
      <c r="B15" t="s">
        <v>43</v>
      </c>
      <c r="C15" t="s">
        <v>44</v>
      </c>
      <c r="D15" t="s">
        <v>44</v>
      </c>
      <c r="E15" t="s">
        <v>44</v>
      </c>
      <c r="F15" t="s">
        <v>44</v>
      </c>
      <c r="G15" t="s">
        <v>44</v>
      </c>
      <c r="H15" t="s">
        <v>44</v>
      </c>
      <c r="I15" t="s">
        <v>44</v>
      </c>
      <c r="J15" t="s">
        <v>44</v>
      </c>
      <c r="K15" t="s">
        <v>44</v>
      </c>
      <c r="L15" t="s">
        <v>44</v>
      </c>
    </row>
    <row r="16" spans="1:12" x14ac:dyDescent="0.2">
      <c r="B16" s="3">
        <f>-G2*D12/100</f>
        <v>-98396462.912087917</v>
      </c>
      <c r="C16" s="3">
        <f>-$G$1/360*ABS($B$16)</f>
        <v>-8199.705242673992</v>
      </c>
      <c r="D16" s="3">
        <f>-$G$1/360*ABS($B$16)</f>
        <v>-8199.705242673992</v>
      </c>
      <c r="E16" s="3">
        <f>-$G$1*3/360*ABS($B$16)</f>
        <v>-24599.115728021981</v>
      </c>
      <c r="F16" s="3">
        <f>-$G$1/360*ABS($B$16)</f>
        <v>-8199.705242673992</v>
      </c>
      <c r="G16" s="3">
        <f>-$G$13/360*ABS($B$16)</f>
        <v>-7653.0582264957275</v>
      </c>
      <c r="H16" s="3">
        <f t="shared" ref="H16:I16" si="0">-$G$13/360*ABS($B$16)</f>
        <v>-7653.0582264957275</v>
      </c>
      <c r="I16" s="3">
        <f t="shared" si="0"/>
        <v>-7653.0582264957275</v>
      </c>
      <c r="J16" s="3">
        <f>-$G$13*3/360*ABS($B$16)</f>
        <v>-22959.174679487183</v>
      </c>
      <c r="K16" s="3">
        <f>-$G$13/360*ABS($B$16)</f>
        <v>-7653.0582264957275</v>
      </c>
      <c r="L16" s="3">
        <f>-$G$13/360*ABS($B$16)</f>
        <v>-7653.0582264957275</v>
      </c>
    </row>
    <row r="17" spans="1:12" x14ac:dyDescent="0.2">
      <c r="B17" t="s">
        <v>45</v>
      </c>
      <c r="L17" t="s">
        <v>49</v>
      </c>
    </row>
    <row r="18" spans="1:12" x14ac:dyDescent="0.2">
      <c r="B18" t="s">
        <v>46</v>
      </c>
      <c r="L18" s="3">
        <f>E33/100*G2</f>
        <v>101419986.26373628</v>
      </c>
    </row>
    <row r="19" spans="1:12" x14ac:dyDescent="0.2">
      <c r="B19" t="s">
        <v>47</v>
      </c>
    </row>
    <row r="20" spans="1:12" x14ac:dyDescent="0.2">
      <c r="B20" t="s">
        <v>48</v>
      </c>
    </row>
    <row r="23" spans="1:12" x14ac:dyDescent="0.2">
      <c r="A23" s="3" t="s">
        <v>54</v>
      </c>
      <c r="C23" s="4">
        <f>SUM(B16:L16)+L18</f>
        <v>2913100.6543803364</v>
      </c>
    </row>
    <row r="26" spans="1:12" x14ac:dyDescent="0.2">
      <c r="A26" t="s">
        <v>50</v>
      </c>
      <c r="C26" t="s">
        <v>51</v>
      </c>
      <c r="D26" s="1">
        <v>42356</v>
      </c>
    </row>
    <row r="27" spans="1:12" x14ac:dyDescent="0.2">
      <c r="B27" t="s">
        <v>52</v>
      </c>
      <c r="D27">
        <f>100+29/32</f>
        <v>100.90625</v>
      </c>
    </row>
    <row r="28" spans="1:12" x14ac:dyDescent="0.2">
      <c r="B28" t="s">
        <v>34</v>
      </c>
      <c r="C28" t="s">
        <v>35</v>
      </c>
      <c r="G28" s="2">
        <f>D26-E2</f>
        <v>34</v>
      </c>
    </row>
    <row r="29" spans="1:12" x14ac:dyDescent="0.2">
      <c r="C29" t="s">
        <v>36</v>
      </c>
      <c r="G29" s="2">
        <f>E3-E2</f>
        <v>182</v>
      </c>
    </row>
    <row r="30" spans="1:12" x14ac:dyDescent="0.2">
      <c r="C30" t="s">
        <v>38</v>
      </c>
      <c r="G30">
        <f>G28/G29</f>
        <v>0.18681318681318682</v>
      </c>
    </row>
    <row r="31" spans="1:12" x14ac:dyDescent="0.2">
      <c r="C31" t="s">
        <v>39</v>
      </c>
      <c r="G31">
        <f>50*C2</f>
        <v>2.75</v>
      </c>
    </row>
    <row r="32" spans="1:12" x14ac:dyDescent="0.2">
      <c r="C32" t="s">
        <v>34</v>
      </c>
      <c r="G32">
        <f>G30*G31</f>
        <v>0.51373626373626369</v>
      </c>
    </row>
    <row r="33" spans="1:5" x14ac:dyDescent="0.2">
      <c r="C33" t="s">
        <v>53</v>
      </c>
      <c r="E33">
        <f>D27+G32</f>
        <v>101.41998626373626</v>
      </c>
    </row>
    <row r="36" spans="1:5" x14ac:dyDescent="0.2">
      <c r="A36" t="s">
        <v>16</v>
      </c>
    </row>
    <row r="37" spans="1:5" x14ac:dyDescent="0.2">
      <c r="B37" t="s">
        <v>55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7"/>
  <sheetViews>
    <sheetView workbookViewId="0">
      <selection activeCell="A37" sqref="A37"/>
    </sheetView>
  </sheetViews>
  <sheetFormatPr defaultColWidth="10.90625" defaultRowHeight="12.6" x14ac:dyDescent="0.2"/>
  <cols>
    <col min="2" max="2" width="12.453125" customWidth="1"/>
    <col min="3" max="3" width="13.1796875" customWidth="1"/>
    <col min="7" max="7" width="13.26953125" customWidth="1"/>
    <col min="12" max="12" width="15.7265625" customWidth="1"/>
  </cols>
  <sheetData>
    <row r="1" spans="1:12" x14ac:dyDescent="0.2">
      <c r="A1">
        <v>1</v>
      </c>
      <c r="B1" t="s">
        <v>30</v>
      </c>
      <c r="C1" s="1">
        <v>42341</v>
      </c>
      <c r="F1" t="s">
        <v>41</v>
      </c>
      <c r="G1">
        <v>0.03</v>
      </c>
    </row>
    <row r="2" spans="1:12" x14ac:dyDescent="0.2">
      <c r="B2" t="s">
        <v>29</v>
      </c>
      <c r="C2">
        <v>5.5E-2</v>
      </c>
      <c r="D2" t="s">
        <v>31</v>
      </c>
      <c r="E2" s="1">
        <v>42322</v>
      </c>
      <c r="F2" t="s">
        <v>42</v>
      </c>
      <c r="G2" s="3">
        <v>100000000</v>
      </c>
    </row>
    <row r="3" spans="1:12" x14ac:dyDescent="0.2">
      <c r="B3" t="s">
        <v>32</v>
      </c>
      <c r="C3">
        <f>98+3/32</f>
        <v>98.09375</v>
      </c>
      <c r="D3" t="s">
        <v>37</v>
      </c>
      <c r="E3" s="1">
        <v>42504</v>
      </c>
    </row>
    <row r="4" spans="1:12" x14ac:dyDescent="0.2">
      <c r="B4" t="s">
        <v>33</v>
      </c>
      <c r="C4">
        <f>98+3.5/32</f>
        <v>98.109375</v>
      </c>
    </row>
    <row r="6" spans="1:12" x14ac:dyDescent="0.2">
      <c r="B6" t="s">
        <v>34</v>
      </c>
      <c r="C6" t="s">
        <v>35</v>
      </c>
      <c r="G6" s="2">
        <f>C1-E2</f>
        <v>19</v>
      </c>
    </row>
    <row r="7" spans="1:12" x14ac:dyDescent="0.2">
      <c r="C7" t="s">
        <v>36</v>
      </c>
      <c r="G7" s="2">
        <f>E3-E2</f>
        <v>182</v>
      </c>
    </row>
    <row r="8" spans="1:12" x14ac:dyDescent="0.2">
      <c r="C8" t="s">
        <v>38</v>
      </c>
      <c r="G8">
        <f>G6/G7</f>
        <v>0.1043956043956044</v>
      </c>
    </row>
    <row r="9" spans="1:12" x14ac:dyDescent="0.2">
      <c r="C9" t="s">
        <v>39</v>
      </c>
      <c r="G9">
        <f>50*C2</f>
        <v>2.75</v>
      </c>
    </row>
    <row r="10" spans="1:12" x14ac:dyDescent="0.2">
      <c r="C10" t="s">
        <v>34</v>
      </c>
      <c r="G10">
        <f>G8*G9</f>
        <v>0.28708791208791212</v>
      </c>
    </row>
    <row r="12" spans="1:12" x14ac:dyDescent="0.2">
      <c r="B12" t="s">
        <v>40</v>
      </c>
      <c r="D12">
        <f>C4+G10</f>
        <v>98.396462912087912</v>
      </c>
    </row>
    <row r="13" spans="1:12" x14ac:dyDescent="0.2">
      <c r="G13">
        <v>3.2000000000000001E-2</v>
      </c>
    </row>
    <row r="14" spans="1:12" x14ac:dyDescent="0.2">
      <c r="A14" s="1">
        <v>42340</v>
      </c>
      <c r="B14" s="1">
        <v>42341</v>
      </c>
      <c r="C14" s="1">
        <v>42342</v>
      </c>
      <c r="D14" s="1">
        <v>42343</v>
      </c>
      <c r="E14" s="1">
        <v>42346</v>
      </c>
      <c r="F14" s="1">
        <v>42347</v>
      </c>
      <c r="G14" s="1">
        <v>42348</v>
      </c>
      <c r="H14" s="1">
        <v>42349</v>
      </c>
      <c r="I14" s="1">
        <v>42350</v>
      </c>
      <c r="J14" s="1">
        <v>42353</v>
      </c>
      <c r="K14" s="1">
        <v>42354</v>
      </c>
      <c r="L14" s="1">
        <v>42355</v>
      </c>
    </row>
    <row r="15" spans="1:12" x14ac:dyDescent="0.2">
      <c r="A15" t="s">
        <v>42</v>
      </c>
      <c r="B15" t="s">
        <v>43</v>
      </c>
      <c r="C15" t="s">
        <v>44</v>
      </c>
      <c r="D15" t="s">
        <v>44</v>
      </c>
      <c r="E15" t="s">
        <v>44</v>
      </c>
      <c r="F15" t="s">
        <v>44</v>
      </c>
      <c r="G15" t="s">
        <v>44</v>
      </c>
      <c r="H15" t="s">
        <v>44</v>
      </c>
      <c r="I15" t="s">
        <v>44</v>
      </c>
      <c r="J15" t="s">
        <v>44</v>
      </c>
      <c r="K15" t="s">
        <v>44</v>
      </c>
      <c r="L15" t="s">
        <v>44</v>
      </c>
    </row>
    <row r="16" spans="1:12" x14ac:dyDescent="0.2">
      <c r="B16" s="3">
        <f>-G2*D12/100</f>
        <v>-98396462.912087917</v>
      </c>
      <c r="C16" s="3">
        <f>-$G$1/360*ABS($B$16)</f>
        <v>-8199.705242673992</v>
      </c>
      <c r="D16" s="3">
        <f>-$G$1/360*ABS($B$16)</f>
        <v>-8199.705242673992</v>
      </c>
      <c r="E16" s="3">
        <f>-$G$1*3/360*ABS($B$16)</f>
        <v>-24599.115728021981</v>
      </c>
      <c r="F16" s="3">
        <f>-$G$1/360*ABS($B$16)</f>
        <v>-8199.705242673992</v>
      </c>
      <c r="G16" s="3">
        <f>-$G$13/360*ABS($B$16)</f>
        <v>-8746.3522588522592</v>
      </c>
      <c r="H16" s="3">
        <f t="shared" ref="H16:I16" si="0">-$G$13/360*ABS($B$16)</f>
        <v>-8746.3522588522592</v>
      </c>
      <c r="I16" s="3">
        <f t="shared" si="0"/>
        <v>-8746.3522588522592</v>
      </c>
      <c r="J16" s="3">
        <f>-$G$13*3/360*ABS($B$16)</f>
        <v>-26239.056776556779</v>
      </c>
      <c r="K16" s="3">
        <f>-$G$13/360*ABS($B$16)</f>
        <v>-8746.3522588522592</v>
      </c>
      <c r="L16" s="3">
        <f>-$G$13/360*ABS($B$16)</f>
        <v>-8746.3522588522592</v>
      </c>
    </row>
    <row r="17" spans="1:12" x14ac:dyDescent="0.2">
      <c r="B17" t="s">
        <v>45</v>
      </c>
      <c r="L17" t="s">
        <v>49</v>
      </c>
    </row>
    <row r="18" spans="1:12" x14ac:dyDescent="0.2">
      <c r="B18" t="s">
        <v>46</v>
      </c>
      <c r="L18" s="3">
        <f>E33/100*G2</f>
        <v>97076236.263736263</v>
      </c>
    </row>
    <row r="19" spans="1:12" x14ac:dyDescent="0.2">
      <c r="B19" t="s">
        <v>47</v>
      </c>
    </row>
    <row r="20" spans="1:12" x14ac:dyDescent="0.2">
      <c r="B20" t="s">
        <v>48</v>
      </c>
    </row>
    <row r="23" spans="1:12" x14ac:dyDescent="0.2">
      <c r="A23" s="3" t="s">
        <v>54</v>
      </c>
      <c r="C23" s="4">
        <f>SUM(B16:L16)+L18</f>
        <v>-1439395.6978784949</v>
      </c>
    </row>
    <row r="26" spans="1:12" x14ac:dyDescent="0.2">
      <c r="A26" t="s">
        <v>50</v>
      </c>
      <c r="C26" t="s">
        <v>51</v>
      </c>
      <c r="D26" s="1">
        <v>42356</v>
      </c>
    </row>
    <row r="27" spans="1:12" x14ac:dyDescent="0.2">
      <c r="B27" t="s">
        <v>52</v>
      </c>
      <c r="D27">
        <f>96+18/32</f>
        <v>96.5625</v>
      </c>
    </row>
    <row r="28" spans="1:12" x14ac:dyDescent="0.2">
      <c r="B28" t="s">
        <v>34</v>
      </c>
      <c r="C28" t="s">
        <v>35</v>
      </c>
      <c r="G28" s="2">
        <f>D26-E2</f>
        <v>34</v>
      </c>
    </row>
    <row r="29" spans="1:12" x14ac:dyDescent="0.2">
      <c r="C29" t="s">
        <v>36</v>
      </c>
      <c r="G29" s="2">
        <f>E3-E2</f>
        <v>182</v>
      </c>
    </row>
    <row r="30" spans="1:12" x14ac:dyDescent="0.2">
      <c r="C30" t="s">
        <v>38</v>
      </c>
      <c r="G30">
        <f>G28/G29</f>
        <v>0.18681318681318682</v>
      </c>
    </row>
    <row r="31" spans="1:12" x14ac:dyDescent="0.2">
      <c r="C31" t="s">
        <v>39</v>
      </c>
      <c r="G31">
        <f>50*C2</f>
        <v>2.75</v>
      </c>
    </row>
    <row r="32" spans="1:12" x14ac:dyDescent="0.2">
      <c r="C32" t="s">
        <v>34</v>
      </c>
      <c r="G32">
        <f>G30*G31</f>
        <v>0.51373626373626369</v>
      </c>
    </row>
    <row r="33" spans="1:5" x14ac:dyDescent="0.2">
      <c r="C33" t="s">
        <v>53</v>
      </c>
      <c r="E33">
        <f>D27+G32</f>
        <v>97.076236263736263</v>
      </c>
    </row>
    <row r="36" spans="1:5" x14ac:dyDescent="0.2">
      <c r="A36" t="s">
        <v>17</v>
      </c>
    </row>
    <row r="37" spans="1:5" x14ac:dyDescent="0.2">
      <c r="B37" t="s">
        <v>24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48"/>
  <sheetViews>
    <sheetView workbookViewId="0">
      <selection activeCell="I18" sqref="I18"/>
    </sheetView>
  </sheetViews>
  <sheetFormatPr defaultColWidth="10.90625" defaultRowHeight="12.6" x14ac:dyDescent="0.2"/>
  <cols>
    <col min="2" max="2" width="13.81640625" customWidth="1"/>
    <col min="7" max="7" width="13.26953125" customWidth="1"/>
    <col min="8" max="8" width="13.1796875" customWidth="1"/>
    <col min="11" max="11" width="14.26953125" customWidth="1"/>
    <col min="12" max="12" width="11.54296875" customWidth="1"/>
  </cols>
  <sheetData>
    <row r="1" spans="1:12" x14ac:dyDescent="0.2">
      <c r="A1">
        <v>1</v>
      </c>
      <c r="B1" t="s">
        <v>30</v>
      </c>
      <c r="C1" s="1">
        <v>42341</v>
      </c>
      <c r="F1" t="s">
        <v>41</v>
      </c>
      <c r="G1">
        <v>0.03</v>
      </c>
    </row>
    <row r="2" spans="1:12" x14ac:dyDescent="0.2">
      <c r="B2" t="s">
        <v>29</v>
      </c>
      <c r="C2">
        <v>5.5E-2</v>
      </c>
      <c r="D2" t="s">
        <v>31</v>
      </c>
      <c r="E2" s="1">
        <v>42322</v>
      </c>
      <c r="F2" t="s">
        <v>42</v>
      </c>
      <c r="G2" s="3">
        <v>100000000</v>
      </c>
    </row>
    <row r="3" spans="1:12" x14ac:dyDescent="0.2">
      <c r="B3" t="s">
        <v>32</v>
      </c>
      <c r="C3">
        <f>98+3/32</f>
        <v>98.09375</v>
      </c>
      <c r="D3" t="s">
        <v>37</v>
      </c>
      <c r="E3" s="1">
        <v>42504</v>
      </c>
    </row>
    <row r="4" spans="1:12" x14ac:dyDescent="0.2">
      <c r="B4" t="s">
        <v>33</v>
      </c>
      <c r="C4">
        <f>98+3.5/32</f>
        <v>98.109375</v>
      </c>
    </row>
    <row r="6" spans="1:12" x14ac:dyDescent="0.2">
      <c r="B6" t="s">
        <v>34</v>
      </c>
      <c r="C6" t="s">
        <v>35</v>
      </c>
      <c r="G6" s="2">
        <f>C1-E2</f>
        <v>19</v>
      </c>
    </row>
    <row r="7" spans="1:12" x14ac:dyDescent="0.2">
      <c r="C7" t="s">
        <v>36</v>
      </c>
      <c r="G7" s="2">
        <f>E3-E2</f>
        <v>182</v>
      </c>
    </row>
    <row r="8" spans="1:12" x14ac:dyDescent="0.2">
      <c r="C8" t="s">
        <v>38</v>
      </c>
      <c r="G8">
        <f>G6/G7</f>
        <v>0.1043956043956044</v>
      </c>
    </row>
    <row r="9" spans="1:12" x14ac:dyDescent="0.2">
      <c r="C9" t="s">
        <v>39</v>
      </c>
      <c r="G9">
        <f>50*C2</f>
        <v>2.75</v>
      </c>
    </row>
    <row r="10" spans="1:12" x14ac:dyDescent="0.2">
      <c r="C10" t="s">
        <v>34</v>
      </c>
      <c r="G10">
        <f>G8*G9</f>
        <v>0.28708791208791212</v>
      </c>
    </row>
    <row r="12" spans="1:12" x14ac:dyDescent="0.2">
      <c r="B12" t="s">
        <v>40</v>
      </c>
      <c r="D12">
        <f>C4+G10</f>
        <v>98.396462912087912</v>
      </c>
    </row>
    <row r="14" spans="1:12" x14ac:dyDescent="0.2">
      <c r="A14" t="s">
        <v>25</v>
      </c>
      <c r="H14" s="3"/>
    </row>
    <row r="15" spans="1:12" x14ac:dyDescent="0.2">
      <c r="B15" t="s">
        <v>26</v>
      </c>
      <c r="H15" s="3">
        <f>ABS(B22)/1.02</f>
        <v>96467120.502046973</v>
      </c>
      <c r="I15" t="s">
        <v>27</v>
      </c>
      <c r="K15" s="3">
        <f>ABS(B22)-H15</f>
        <v>1929342.4100409448</v>
      </c>
      <c r="L15" t="s">
        <v>28</v>
      </c>
    </row>
    <row r="16" spans="1:12" x14ac:dyDescent="0.2">
      <c r="I16" t="s">
        <v>20</v>
      </c>
    </row>
    <row r="17" spans="1:12" x14ac:dyDescent="0.2">
      <c r="I17" t="s">
        <v>21</v>
      </c>
    </row>
    <row r="20" spans="1:12" x14ac:dyDescent="0.2">
      <c r="A20" s="1">
        <v>42340</v>
      </c>
      <c r="B20" s="1">
        <v>42341</v>
      </c>
      <c r="C20" s="1">
        <v>42342</v>
      </c>
      <c r="D20" s="1">
        <v>42343</v>
      </c>
      <c r="E20" s="1">
        <v>42346</v>
      </c>
      <c r="F20" s="1">
        <v>42347</v>
      </c>
      <c r="G20" s="1">
        <v>42348</v>
      </c>
      <c r="H20" s="1">
        <v>42349</v>
      </c>
      <c r="I20" s="1">
        <v>42350</v>
      </c>
      <c r="J20" s="1">
        <v>42353</v>
      </c>
      <c r="K20" s="1">
        <v>42354</v>
      </c>
      <c r="L20" s="1">
        <v>42355</v>
      </c>
    </row>
    <row r="21" spans="1:12" x14ac:dyDescent="0.2">
      <c r="A21" t="s">
        <v>42</v>
      </c>
      <c r="B21" t="s">
        <v>43</v>
      </c>
      <c r="C21" t="s">
        <v>44</v>
      </c>
      <c r="D21" t="s">
        <v>44</v>
      </c>
      <c r="E21" t="s">
        <v>44</v>
      </c>
      <c r="F21" t="s">
        <v>44</v>
      </c>
      <c r="G21" t="s">
        <v>44</v>
      </c>
      <c r="H21" t="s">
        <v>44</v>
      </c>
      <c r="I21" t="s">
        <v>44</v>
      </c>
      <c r="J21" t="s">
        <v>44</v>
      </c>
      <c r="K21" t="s">
        <v>44</v>
      </c>
      <c r="L21" t="s">
        <v>44</v>
      </c>
    </row>
    <row r="22" spans="1:12" x14ac:dyDescent="0.2">
      <c r="B22" s="3">
        <f>-G2*D12/100</f>
        <v>-98396462.912087917</v>
      </c>
      <c r="C22" s="3">
        <f>-$G$1/360*(ABS($B$22)-$K$15)</f>
        <v>-8038.9267085039137</v>
      </c>
      <c r="D22" s="3">
        <f>-$G$1/360*(ABS($B$22)-$K$15)</f>
        <v>-8038.9267085039137</v>
      </c>
      <c r="E22" s="3">
        <f>-$G$1*3/360*(ABS($B$22)-K15)</f>
        <v>-24116.780125511745</v>
      </c>
      <c r="F22" s="3">
        <f>-$G$1/360*(ABS($B$22)-$K$15)</f>
        <v>-8038.9267085039137</v>
      </c>
      <c r="G22" s="3">
        <f t="shared" ref="G22:I22" si="0">-$G$1/360*(ABS($B$22)-$K$15)</f>
        <v>-8038.9267085039137</v>
      </c>
      <c r="H22" s="3">
        <f t="shared" si="0"/>
        <v>-8038.9267085039137</v>
      </c>
      <c r="I22" s="3">
        <f t="shared" si="0"/>
        <v>-8038.9267085039137</v>
      </c>
      <c r="J22" s="3">
        <f>-$G$1*3/360*(ABS($B$22)-K15)</f>
        <v>-24116.780125511745</v>
      </c>
      <c r="K22" s="3">
        <f>-$G$1/360*(ABS($B$22)-K15)</f>
        <v>-8038.9267085039137</v>
      </c>
      <c r="L22" s="3">
        <f>-$G$1/360*(ABS($B$22)-K15)</f>
        <v>-8038.9267085039137</v>
      </c>
    </row>
    <row r="23" spans="1:12" x14ac:dyDescent="0.2">
      <c r="B23" t="s">
        <v>45</v>
      </c>
      <c r="L23" t="s">
        <v>49</v>
      </c>
    </row>
    <row r="24" spans="1:12" x14ac:dyDescent="0.2">
      <c r="B24" t="s">
        <v>46</v>
      </c>
      <c r="L24" s="3">
        <f>E44/100*G2</f>
        <v>98607486.263736263</v>
      </c>
    </row>
    <row r="25" spans="1:12" x14ac:dyDescent="0.2">
      <c r="B25" t="s">
        <v>19</v>
      </c>
    </row>
    <row r="26" spans="1:12" x14ac:dyDescent="0.2">
      <c r="B26" t="s">
        <v>48</v>
      </c>
    </row>
    <row r="28" spans="1:12" x14ac:dyDescent="0.2">
      <c r="A28" t="s">
        <v>12</v>
      </c>
      <c r="D28">
        <v>0.1</v>
      </c>
      <c r="E28" t="s">
        <v>13</v>
      </c>
    </row>
    <row r="29" spans="1:12" x14ac:dyDescent="0.2">
      <c r="E29" s="6" t="s">
        <v>14</v>
      </c>
    </row>
    <row r="30" spans="1:12" x14ac:dyDescent="0.2">
      <c r="A30" s="3" t="s">
        <v>54</v>
      </c>
      <c r="C30" s="4">
        <f>SUM(B22:L22)+L24</f>
        <v>98478.377729281783</v>
      </c>
    </row>
    <row r="31" spans="1:12" x14ac:dyDescent="0.2">
      <c r="A31" t="s">
        <v>15</v>
      </c>
      <c r="C31" s="5">
        <f>K15*(EXP(D28*14/365)-1)</f>
        <v>7414.4278237342696</v>
      </c>
    </row>
    <row r="37" spans="1:7" x14ac:dyDescent="0.2">
      <c r="A37" t="s">
        <v>50</v>
      </c>
      <c r="C37" t="s">
        <v>51</v>
      </c>
      <c r="D37" s="1">
        <v>42356</v>
      </c>
    </row>
    <row r="38" spans="1:7" x14ac:dyDescent="0.2">
      <c r="B38" t="s">
        <v>52</v>
      </c>
      <c r="D38">
        <f>C3</f>
        <v>98.09375</v>
      </c>
    </row>
    <row r="39" spans="1:7" x14ac:dyDescent="0.2">
      <c r="B39" t="s">
        <v>34</v>
      </c>
      <c r="C39" t="s">
        <v>35</v>
      </c>
      <c r="G39" s="2">
        <f>D37-E2</f>
        <v>34</v>
      </c>
    </row>
    <row r="40" spans="1:7" x14ac:dyDescent="0.2">
      <c r="C40" t="s">
        <v>36</v>
      </c>
      <c r="G40" s="2">
        <f>E3-E2</f>
        <v>182</v>
      </c>
    </row>
    <row r="41" spans="1:7" x14ac:dyDescent="0.2">
      <c r="C41" t="s">
        <v>38</v>
      </c>
      <c r="G41">
        <f>G39/G40</f>
        <v>0.18681318681318682</v>
      </c>
    </row>
    <row r="42" spans="1:7" x14ac:dyDescent="0.2">
      <c r="C42" t="s">
        <v>39</v>
      </c>
      <c r="G42">
        <f>50*C2</f>
        <v>2.75</v>
      </c>
    </row>
    <row r="43" spans="1:7" x14ac:dyDescent="0.2">
      <c r="C43" t="s">
        <v>34</v>
      </c>
      <c r="G43">
        <f>G41*G42</f>
        <v>0.51373626373626369</v>
      </c>
    </row>
    <row r="44" spans="1:7" x14ac:dyDescent="0.2">
      <c r="C44" t="s">
        <v>53</v>
      </c>
      <c r="E44">
        <f>D38+G43</f>
        <v>98.607486263736263</v>
      </c>
    </row>
    <row r="47" spans="1:7" x14ac:dyDescent="0.2">
      <c r="A47" t="s">
        <v>16</v>
      </c>
    </row>
    <row r="48" spans="1:7" x14ac:dyDescent="0.2">
      <c r="A48" t="s">
        <v>18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6"/>
  <sheetViews>
    <sheetView tabSelected="1" workbookViewId="0">
      <selection activeCell="D12" sqref="D12"/>
    </sheetView>
  </sheetViews>
  <sheetFormatPr defaultColWidth="10.90625" defaultRowHeight="12.6" x14ac:dyDescent="0.2"/>
  <cols>
    <col min="2" max="2" width="14.453125" customWidth="1"/>
    <col min="7" max="7" width="13.26953125" customWidth="1"/>
    <col min="12" max="12" width="14.81640625" customWidth="1"/>
  </cols>
  <sheetData>
    <row r="1" spans="1:12" x14ac:dyDescent="0.2">
      <c r="A1">
        <v>1</v>
      </c>
      <c r="B1" t="s">
        <v>30</v>
      </c>
      <c r="C1" s="1">
        <v>42691</v>
      </c>
      <c r="F1" t="s">
        <v>41</v>
      </c>
      <c r="G1">
        <v>0.05</v>
      </c>
    </row>
    <row r="2" spans="1:12" x14ac:dyDescent="0.2">
      <c r="B2" t="s">
        <v>29</v>
      </c>
      <c r="C2">
        <v>7.4999999999999997E-2</v>
      </c>
      <c r="D2" t="s">
        <v>31</v>
      </c>
      <c r="E2" s="1">
        <v>42596</v>
      </c>
      <c r="F2" t="s">
        <v>42</v>
      </c>
      <c r="G2" s="3">
        <v>100000000</v>
      </c>
    </row>
    <row r="3" spans="1:12" x14ac:dyDescent="0.2">
      <c r="B3" t="s">
        <v>32</v>
      </c>
      <c r="C3">
        <f>101+13/32</f>
        <v>101.40625</v>
      </c>
      <c r="D3" t="s">
        <v>37</v>
      </c>
      <c r="E3" s="1">
        <v>42780</v>
      </c>
    </row>
    <row r="4" spans="1:12" x14ac:dyDescent="0.2">
      <c r="B4" t="s">
        <v>33</v>
      </c>
      <c r="C4">
        <f>101+13.5/32</f>
        <v>101.421875</v>
      </c>
    </row>
    <row r="6" spans="1:12" x14ac:dyDescent="0.2">
      <c r="B6" t="s">
        <v>34</v>
      </c>
      <c r="C6" t="s">
        <v>35</v>
      </c>
      <c r="G6" s="2">
        <f>C1-E2</f>
        <v>95</v>
      </c>
    </row>
    <row r="7" spans="1:12" x14ac:dyDescent="0.2">
      <c r="C7" t="s">
        <v>36</v>
      </c>
      <c r="G7" s="2">
        <f>E3-E2</f>
        <v>184</v>
      </c>
    </row>
    <row r="8" spans="1:12" x14ac:dyDescent="0.2">
      <c r="C8" t="s">
        <v>38</v>
      </c>
      <c r="G8">
        <f>G6/G7</f>
        <v>0.51630434782608692</v>
      </c>
    </row>
    <row r="9" spans="1:12" x14ac:dyDescent="0.2">
      <c r="C9" t="s">
        <v>39</v>
      </c>
      <c r="G9">
        <f>50*C2</f>
        <v>3.75</v>
      </c>
    </row>
    <row r="10" spans="1:12" x14ac:dyDescent="0.2">
      <c r="C10" t="s">
        <v>34</v>
      </c>
      <c r="G10">
        <f>G8*G9</f>
        <v>1.9361413043478259</v>
      </c>
    </row>
    <row r="12" spans="1:12" x14ac:dyDescent="0.2">
      <c r="B12" t="s">
        <v>22</v>
      </c>
      <c r="D12">
        <f>C3+G10</f>
        <v>103.34239130434783</v>
      </c>
    </row>
    <row r="14" spans="1:12" x14ac:dyDescent="0.2">
      <c r="A14" s="1">
        <v>42690</v>
      </c>
      <c r="B14" s="1">
        <v>42691</v>
      </c>
      <c r="C14" s="1">
        <v>42692</v>
      </c>
      <c r="D14" s="1">
        <v>42693</v>
      </c>
      <c r="E14" s="1">
        <v>42696</v>
      </c>
      <c r="F14" s="1">
        <v>42697</v>
      </c>
      <c r="G14" s="1">
        <v>42698</v>
      </c>
      <c r="H14" s="1">
        <v>42700</v>
      </c>
      <c r="I14" s="1">
        <v>42703</v>
      </c>
      <c r="J14" s="1">
        <v>42704</v>
      </c>
      <c r="K14" s="1">
        <v>42705</v>
      </c>
      <c r="L14" s="1">
        <v>42355</v>
      </c>
    </row>
    <row r="15" spans="1:12" x14ac:dyDescent="0.2">
      <c r="A15" t="s">
        <v>42</v>
      </c>
      <c r="B15" t="s">
        <v>43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 t="s">
        <v>2</v>
      </c>
    </row>
    <row r="16" spans="1:12" x14ac:dyDescent="0.2">
      <c r="B16" s="3">
        <f>G2*D12/100</f>
        <v>103342391.30434781</v>
      </c>
      <c r="C16" s="3">
        <f>$G$1/360*ABS($B$16)</f>
        <v>14353.109903381641</v>
      </c>
      <c r="D16" s="3">
        <f>$G$1/360*ABS($B$16)</f>
        <v>14353.109903381641</v>
      </c>
      <c r="E16" s="3">
        <f>$G$1*3/360*ABS($B$16)</f>
        <v>43059.329710144928</v>
      </c>
      <c r="F16" s="3">
        <f>$G$1/360*ABS($B$16)</f>
        <v>14353.109903381641</v>
      </c>
      <c r="G16" s="3">
        <f>$G$1/360*ABS($B$16)</f>
        <v>14353.109903381641</v>
      </c>
      <c r="H16" s="3">
        <f>2*$G$1/360*ABS($B$16)</f>
        <v>28706.219806763282</v>
      </c>
      <c r="I16" s="3">
        <f>$G$1/360*ABS($B$16)</f>
        <v>14353.109903381641</v>
      </c>
      <c r="J16" s="3">
        <f>$G$1*3/360*ABS($B$16)</f>
        <v>43059.329710144928</v>
      </c>
      <c r="K16" s="3">
        <f>$G$1/360*ABS($B$16)</f>
        <v>14353.109903381641</v>
      </c>
      <c r="L16" s="3">
        <f>$G$1/360*ABS($B$16)</f>
        <v>14353.109903381641</v>
      </c>
    </row>
    <row r="17" spans="1:12" x14ac:dyDescent="0.2">
      <c r="B17" t="s">
        <v>23</v>
      </c>
      <c r="L17" t="s">
        <v>3</v>
      </c>
    </row>
    <row r="18" spans="1:12" x14ac:dyDescent="0.2">
      <c r="B18" t="s">
        <v>0</v>
      </c>
      <c r="L18" s="3">
        <f>-E33/100*G2</f>
        <v>-103627717.39130434</v>
      </c>
    </row>
    <row r="19" spans="1:12" x14ac:dyDescent="0.2">
      <c r="B19" t="s">
        <v>1</v>
      </c>
    </row>
    <row r="20" spans="1:12" x14ac:dyDescent="0.2">
      <c r="B20" t="s">
        <v>48</v>
      </c>
    </row>
    <row r="23" spans="1:12" x14ac:dyDescent="0.2">
      <c r="A23" s="3" t="s">
        <v>54</v>
      </c>
      <c r="C23" s="4">
        <f>SUM(B16:L16)+L18</f>
        <v>-70029.438405826688</v>
      </c>
    </row>
    <row r="26" spans="1:12" x14ac:dyDescent="0.2">
      <c r="A26" t="s">
        <v>50</v>
      </c>
      <c r="C26" t="s">
        <v>51</v>
      </c>
      <c r="D26" s="1">
        <v>42705</v>
      </c>
    </row>
    <row r="27" spans="1:12" x14ac:dyDescent="0.2">
      <c r="B27" t="s">
        <v>10</v>
      </c>
      <c r="D27">
        <f>C3</f>
        <v>101.40625</v>
      </c>
    </row>
    <row r="28" spans="1:12" x14ac:dyDescent="0.2">
      <c r="B28" t="s">
        <v>34</v>
      </c>
      <c r="C28" t="s">
        <v>35</v>
      </c>
      <c r="G28" s="2">
        <f>D26-E2</f>
        <v>109</v>
      </c>
    </row>
    <row r="29" spans="1:12" x14ac:dyDescent="0.2">
      <c r="C29" t="s">
        <v>36</v>
      </c>
      <c r="G29" s="2">
        <f>E3-E2</f>
        <v>184</v>
      </c>
    </row>
    <row r="30" spans="1:12" x14ac:dyDescent="0.2">
      <c r="C30" t="s">
        <v>38</v>
      </c>
      <c r="G30">
        <f>G28/G29</f>
        <v>0.59239130434782605</v>
      </c>
    </row>
    <row r="31" spans="1:12" x14ac:dyDescent="0.2">
      <c r="C31" t="s">
        <v>39</v>
      </c>
      <c r="G31">
        <f>50*C2</f>
        <v>3.75</v>
      </c>
    </row>
    <row r="32" spans="1:12" x14ac:dyDescent="0.2">
      <c r="C32" t="s">
        <v>34</v>
      </c>
      <c r="G32">
        <f>G30*G31</f>
        <v>2.2214673913043477</v>
      </c>
    </row>
    <row r="33" spans="1:5" x14ac:dyDescent="0.2">
      <c r="C33" t="s">
        <v>4</v>
      </c>
      <c r="E33">
        <f>D27+G32</f>
        <v>103.62771739130434</v>
      </c>
    </row>
    <row r="36" spans="1:5" x14ac:dyDescent="0.2">
      <c r="A36" t="s">
        <v>5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8"/>
  <sheetViews>
    <sheetView workbookViewId="0">
      <selection activeCell="K39" sqref="K39"/>
    </sheetView>
  </sheetViews>
  <sheetFormatPr defaultColWidth="10.90625" defaultRowHeight="12.6" x14ac:dyDescent="0.2"/>
  <cols>
    <col min="2" max="2" width="14.453125" customWidth="1"/>
    <col min="3" max="3" width="13.54296875" customWidth="1"/>
    <col min="7" max="7" width="13.26953125" customWidth="1"/>
    <col min="12" max="12" width="14.81640625" customWidth="1"/>
  </cols>
  <sheetData>
    <row r="1" spans="1:12" x14ac:dyDescent="0.2">
      <c r="A1">
        <v>1</v>
      </c>
      <c r="B1" t="s">
        <v>30</v>
      </c>
      <c r="C1" s="1">
        <v>42691</v>
      </c>
      <c r="F1" t="s">
        <v>41</v>
      </c>
      <c r="G1">
        <v>0.05</v>
      </c>
      <c r="H1" t="s">
        <v>6</v>
      </c>
    </row>
    <row r="2" spans="1:12" x14ac:dyDescent="0.2">
      <c r="B2" t="s">
        <v>29</v>
      </c>
      <c r="C2">
        <v>7.4999999999999997E-2</v>
      </c>
      <c r="D2" t="s">
        <v>31</v>
      </c>
      <c r="E2" s="1">
        <v>42596</v>
      </c>
      <c r="F2" t="s">
        <v>42</v>
      </c>
      <c r="G2" s="3">
        <v>100000000</v>
      </c>
      <c r="H2" t="s">
        <v>7</v>
      </c>
      <c r="J2">
        <v>0.04</v>
      </c>
    </row>
    <row r="3" spans="1:12" x14ac:dyDescent="0.2">
      <c r="B3" t="s">
        <v>32</v>
      </c>
      <c r="C3">
        <f>101+13/32</f>
        <v>101.40625</v>
      </c>
      <c r="D3" t="s">
        <v>37</v>
      </c>
      <c r="E3" s="1">
        <v>42780</v>
      </c>
    </row>
    <row r="4" spans="1:12" x14ac:dyDescent="0.2">
      <c r="B4" t="s">
        <v>33</v>
      </c>
      <c r="C4">
        <f>101+13.5/32</f>
        <v>101.421875</v>
      </c>
    </row>
    <row r="6" spans="1:12" x14ac:dyDescent="0.2">
      <c r="B6" t="s">
        <v>34</v>
      </c>
      <c r="C6" t="s">
        <v>35</v>
      </c>
      <c r="G6" s="2">
        <f>C1-E2</f>
        <v>95</v>
      </c>
    </row>
    <row r="7" spans="1:12" x14ac:dyDescent="0.2">
      <c r="C7" t="s">
        <v>36</v>
      </c>
      <c r="G7" s="2">
        <f>E3-E2</f>
        <v>184</v>
      </c>
    </row>
    <row r="8" spans="1:12" x14ac:dyDescent="0.2">
      <c r="C8" t="s">
        <v>38</v>
      </c>
      <c r="G8">
        <f>G6/G7</f>
        <v>0.51630434782608692</v>
      </c>
    </row>
    <row r="9" spans="1:12" x14ac:dyDescent="0.2">
      <c r="C9" t="s">
        <v>39</v>
      </c>
      <c r="G9">
        <f>50*C2</f>
        <v>3.75</v>
      </c>
    </row>
    <row r="10" spans="1:12" x14ac:dyDescent="0.2">
      <c r="C10" t="s">
        <v>34</v>
      </c>
      <c r="G10">
        <f>G8*G9</f>
        <v>1.9361413043478259</v>
      </c>
    </row>
    <row r="12" spans="1:12" x14ac:dyDescent="0.2">
      <c r="B12" t="s">
        <v>22</v>
      </c>
      <c r="D12">
        <f>C3+G10</f>
        <v>103.34239130434783</v>
      </c>
    </row>
    <row r="14" spans="1:12" x14ac:dyDescent="0.2">
      <c r="A14" s="1">
        <v>42690</v>
      </c>
      <c r="B14" s="1">
        <v>42691</v>
      </c>
      <c r="C14" s="1">
        <v>42692</v>
      </c>
      <c r="D14" s="1">
        <v>42693</v>
      </c>
      <c r="E14" s="1">
        <v>42696</v>
      </c>
      <c r="F14" s="1">
        <v>42697</v>
      </c>
      <c r="G14" s="1">
        <v>42698</v>
      </c>
      <c r="H14" s="1">
        <v>42700</v>
      </c>
      <c r="I14" s="1">
        <v>42703</v>
      </c>
      <c r="J14" s="1">
        <v>42704</v>
      </c>
      <c r="K14" s="1">
        <v>42705</v>
      </c>
      <c r="L14" s="1">
        <v>42355</v>
      </c>
    </row>
    <row r="15" spans="1:12" x14ac:dyDescent="0.2">
      <c r="A15" t="s">
        <v>42</v>
      </c>
      <c r="B15" t="s">
        <v>43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 t="s">
        <v>2</v>
      </c>
    </row>
    <row r="16" spans="1:12" x14ac:dyDescent="0.2">
      <c r="B16" s="3">
        <f>G2*D12/100</f>
        <v>103342391.30434781</v>
      </c>
      <c r="C16" s="3">
        <f>($G$1-$J$2)/360*ABS($B$16)</f>
        <v>2870.6219806763288</v>
      </c>
      <c r="D16" s="3">
        <f>($G$1-$J$2)/360*ABS($B$16)</f>
        <v>2870.6219806763288</v>
      </c>
      <c r="E16" s="3">
        <f>($G$1-J2)*3/360*ABS($B$16)</f>
        <v>8611.865942028986</v>
      </c>
      <c r="F16" s="3">
        <f>($G$1-J2)/360*ABS($B$16)</f>
        <v>2870.6219806763288</v>
      </c>
      <c r="G16" s="3">
        <f>($G$1-J2)/360*ABS($B$16)</f>
        <v>2870.6219806763288</v>
      </c>
      <c r="H16" s="3">
        <f>2*($G$1-J2)/360*ABS($B$16)</f>
        <v>5741.2439613526576</v>
      </c>
      <c r="I16" s="3">
        <f>($G$1-J2)/360*ABS($B$16)</f>
        <v>2870.6219806763288</v>
      </c>
      <c r="J16" s="3">
        <f>($G$1-J2)*3/360*ABS($B$16)</f>
        <v>8611.865942028986</v>
      </c>
      <c r="K16" s="3">
        <f>($G$1-J2)/360*ABS($B$16)</f>
        <v>2870.6219806763288</v>
      </c>
      <c r="L16" s="3">
        <f>($G$1-J2)/360*ABS($B$16)</f>
        <v>2870.6219806763288</v>
      </c>
    </row>
    <row r="17" spans="1:12" x14ac:dyDescent="0.2">
      <c r="B17" t="s">
        <v>23</v>
      </c>
      <c r="L17" t="s">
        <v>3</v>
      </c>
    </row>
    <row r="18" spans="1:12" x14ac:dyDescent="0.2">
      <c r="B18" t="s">
        <v>0</v>
      </c>
      <c r="L18" s="3">
        <f>-E33/100*G2</f>
        <v>-103643342.39130434</v>
      </c>
    </row>
    <row r="19" spans="1:12" x14ac:dyDescent="0.2">
      <c r="B19" t="s">
        <v>1</v>
      </c>
    </row>
    <row r="20" spans="1:12" x14ac:dyDescent="0.2">
      <c r="B20" t="s">
        <v>48</v>
      </c>
    </row>
    <row r="23" spans="1:12" x14ac:dyDescent="0.2">
      <c r="A23" s="3" t="s">
        <v>54</v>
      </c>
      <c r="C23" s="4">
        <f>SUM(B16:L16)+L18</f>
        <v>-257891.75724634528</v>
      </c>
    </row>
    <row r="26" spans="1:12" x14ac:dyDescent="0.2">
      <c r="A26" t="s">
        <v>50</v>
      </c>
      <c r="C26" t="s">
        <v>51</v>
      </c>
      <c r="D26" s="1">
        <v>42705</v>
      </c>
    </row>
    <row r="27" spans="1:12" x14ac:dyDescent="0.2">
      <c r="B27" t="s">
        <v>9</v>
      </c>
      <c r="D27">
        <f>C4</f>
        <v>101.421875</v>
      </c>
    </row>
    <row r="28" spans="1:12" x14ac:dyDescent="0.2">
      <c r="B28" t="s">
        <v>34</v>
      </c>
      <c r="C28" t="s">
        <v>35</v>
      </c>
      <c r="G28" s="2">
        <f>D26-E2</f>
        <v>109</v>
      </c>
    </row>
    <row r="29" spans="1:12" x14ac:dyDescent="0.2">
      <c r="C29" t="s">
        <v>36</v>
      </c>
      <c r="G29" s="2">
        <f>E3-E2</f>
        <v>184</v>
      </c>
    </row>
    <row r="30" spans="1:12" x14ac:dyDescent="0.2">
      <c r="C30" t="s">
        <v>38</v>
      </c>
      <c r="G30">
        <f>G28/G29</f>
        <v>0.59239130434782605</v>
      </c>
    </row>
    <row r="31" spans="1:12" x14ac:dyDescent="0.2">
      <c r="C31" t="s">
        <v>39</v>
      </c>
      <c r="G31">
        <f>50*C2</f>
        <v>3.75</v>
      </c>
    </row>
    <row r="32" spans="1:12" x14ac:dyDescent="0.2">
      <c r="C32" t="s">
        <v>34</v>
      </c>
      <c r="G32">
        <f>G30*G31</f>
        <v>2.2214673913043477</v>
      </c>
    </row>
    <row r="33" spans="1:11" x14ac:dyDescent="0.2">
      <c r="C33" t="s">
        <v>4</v>
      </c>
      <c r="E33">
        <f>D27+G32</f>
        <v>103.64334239130434</v>
      </c>
    </row>
    <row r="36" spans="1:11" x14ac:dyDescent="0.2">
      <c r="A36" t="s">
        <v>5</v>
      </c>
    </row>
    <row r="37" spans="1:11" x14ac:dyDescent="0.2">
      <c r="B37" t="s">
        <v>8</v>
      </c>
      <c r="F37" s="7" t="s">
        <v>56</v>
      </c>
    </row>
    <row r="38" spans="1:11" x14ac:dyDescent="0.2">
      <c r="F38" t="s">
        <v>11</v>
      </c>
      <c r="K38" s="5"/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1a </vt:lpstr>
      <vt:lpstr>1b</vt:lpstr>
      <vt:lpstr>1c</vt:lpstr>
      <vt:lpstr>2a</vt:lpstr>
      <vt:lpstr>3</vt:lpstr>
      <vt:lpstr>4</vt:lpstr>
    </vt:vector>
  </TitlesOfParts>
  <Company>University of Arizona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TimOne</cp:lastModifiedBy>
  <dcterms:created xsi:type="dcterms:W3CDTF">2018-10-13T00:30:04Z</dcterms:created>
  <dcterms:modified xsi:type="dcterms:W3CDTF">2018-10-29T00:43:22Z</dcterms:modified>
</cp:coreProperties>
</file>