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120" yWindow="-420" windowWidth="24560" windowHeight="16460" tabRatio="500"/>
  </bookViews>
  <sheets>
    <sheet name="Sheet1" sheetId="1" r:id="rId1"/>
  </sheet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71" i="1"/>
  <c r="D71"/>
  <c r="D70"/>
  <c r="D31"/>
  <c r="B33"/>
  <c r="F33"/>
  <c r="H24"/>
  <c r="J56"/>
  <c r="F8"/>
  <c r="F10"/>
  <c r="I51"/>
  <c r="I52"/>
  <c r="H55"/>
  <c r="J57"/>
  <c r="D51"/>
  <c r="D52"/>
  <c r="D55"/>
  <c r="D56"/>
  <c r="G66"/>
  <c r="B8"/>
  <c r="B10"/>
  <c r="D48"/>
  <c r="C62"/>
  <c r="H54"/>
  <c r="C54"/>
  <c r="F46"/>
  <c r="M38"/>
  <c r="C38"/>
  <c r="C39"/>
  <c r="F31"/>
  <c r="F29"/>
  <c r="F28"/>
  <c r="F27"/>
  <c r="D29"/>
  <c r="D28"/>
  <c r="D27"/>
  <c r="F19"/>
  <c r="C3"/>
  <c r="C2"/>
  <c r="F3"/>
  <c r="F2"/>
  <c r="F4"/>
</calcChain>
</file>

<file path=xl/sharedStrings.xml><?xml version="1.0" encoding="utf-8"?>
<sst xmlns="http://schemas.openxmlformats.org/spreadsheetml/2006/main" count="70" uniqueCount="66">
  <si>
    <t>91 days of interest on principal has to equal this amount to cause the trade to break even.</t>
    <phoneticPr fontId="2" type="noConversion"/>
  </si>
  <si>
    <t xml:space="preserve">91/360 (s) * P = </t>
    <phoneticPr fontId="2" type="noConversion"/>
  </si>
  <si>
    <t>s=</t>
    <phoneticPr fontId="2" type="noConversion"/>
  </si>
  <si>
    <t xml:space="preserve">  or</t>
    <phoneticPr fontId="2" type="noConversion"/>
  </si>
  <si>
    <t xml:space="preserve"> basis points </t>
    <phoneticPr fontId="2" type="noConversion"/>
  </si>
  <si>
    <t>Buy the off-the-run note: Pay cash</t>
    <phoneticPr fontId="2" type="noConversion"/>
  </si>
  <si>
    <t>Deliver note to repo in exchange for cash</t>
    <phoneticPr fontId="2" type="noConversion"/>
  </si>
  <si>
    <t>Pay gc repo rate on these funds.</t>
    <phoneticPr fontId="2" type="noConversion"/>
  </si>
  <si>
    <t xml:space="preserve">  to settle on </t>
    <phoneticPr fontId="2" type="noConversion"/>
  </si>
  <si>
    <t>Close position on 2/17/2020</t>
    <phoneticPr fontId="2" type="noConversion"/>
  </si>
  <si>
    <t>holding period:</t>
    <phoneticPr fontId="2" type="noConversion"/>
  </si>
  <si>
    <t>Cost of repo financing on long position:</t>
    <phoneticPr fontId="2" type="noConversion"/>
  </si>
  <si>
    <t>Close positions:</t>
    <phoneticPr fontId="2" type="noConversion"/>
  </si>
  <si>
    <t>ytm on November note:</t>
    <phoneticPr fontId="2" type="noConversion"/>
  </si>
  <si>
    <t xml:space="preserve"> ==&gt; Clean price:</t>
    <phoneticPr fontId="2" type="noConversion"/>
  </si>
  <si>
    <t>Cash Price:</t>
    <phoneticPr fontId="2" type="noConversion"/>
  </si>
  <si>
    <t xml:space="preserve">  X Par amount:</t>
    <phoneticPr fontId="2" type="noConversion"/>
  </si>
  <si>
    <t>ytm on August Note:</t>
    <phoneticPr fontId="2" type="noConversion"/>
  </si>
  <si>
    <t>Next Coupon:</t>
    <phoneticPr fontId="2" type="noConversion"/>
  </si>
  <si>
    <t>We receive coupon on 2/17/20:</t>
    <phoneticPr fontId="2" type="noConversion"/>
  </si>
  <si>
    <t>Sell the note:</t>
    <phoneticPr fontId="2" type="noConversion"/>
  </si>
  <si>
    <t>Dirty Price:</t>
    <phoneticPr fontId="2" type="noConversion"/>
  </si>
  <si>
    <t>Total Cash Flow:</t>
    <phoneticPr fontId="2" type="noConversion"/>
  </si>
  <si>
    <t>We structure the trade so that there is no cash flow on initiation.</t>
    <phoneticPr fontId="2" type="noConversion"/>
  </si>
  <si>
    <t>2) Using the above results, the total cash flow excluding all financing and shorting costs are:</t>
    <phoneticPr fontId="2" type="noConversion"/>
  </si>
  <si>
    <t>--which is roughly what the profits on the trade would be if the on-the-run were not trading on special.</t>
    <phoneticPr fontId="2" type="noConversion"/>
  </si>
  <si>
    <t>The yield curve is flat, so consistent with historical patterns, the on-the-run note is trading rich.</t>
    <phoneticPr fontId="2" type="noConversion"/>
  </si>
  <si>
    <t>We'll try to capture this spread by shorting the on-the-run note and buying the first off-the-run as a partial hedge.</t>
    <phoneticPr fontId="2" type="noConversion"/>
  </si>
  <si>
    <t>Par amount of OTR:</t>
    <phoneticPr fontId="2" type="noConversion"/>
  </si>
  <si>
    <t>AI:</t>
    <phoneticPr fontId="2" type="noConversion"/>
  </si>
  <si>
    <t xml:space="preserve">  % of period elapsed:</t>
    <phoneticPr fontId="2" type="noConversion"/>
  </si>
  <si>
    <t>Next Cpn:</t>
    <phoneticPr fontId="2" type="noConversion"/>
  </si>
  <si>
    <t>$ Coupon:</t>
    <phoneticPr fontId="2" type="noConversion"/>
  </si>
  <si>
    <t>Par amount of Aug note:</t>
    <phoneticPr fontId="2" type="noConversion"/>
  </si>
  <si>
    <t>Dirty Price to sell:</t>
    <phoneticPr fontId="2" type="noConversion"/>
  </si>
  <si>
    <t xml:space="preserve"> DP to buy:</t>
    <phoneticPr fontId="2" type="noConversion"/>
  </si>
  <si>
    <t>$ Amount :</t>
    <phoneticPr fontId="2" type="noConversion"/>
  </si>
  <si>
    <t xml:space="preserve">  I fix the par amount of the on-the-run, then ascertain how much that costs.</t>
    <phoneticPr fontId="2" type="noConversion"/>
  </si>
  <si>
    <t xml:space="preserve"> Then I determine how many of the August note gives us the same $ amount.</t>
    <phoneticPr fontId="2" type="noConversion"/>
  </si>
  <si>
    <t>Sell 100 million par of the on-the-run note:</t>
    <phoneticPr fontId="2" type="noConversion"/>
  </si>
  <si>
    <t>Receive cash:</t>
    <phoneticPr fontId="2" type="noConversion"/>
  </si>
  <si>
    <t>Deliver cash to repo dealer:</t>
    <phoneticPr fontId="2" type="noConversion"/>
  </si>
  <si>
    <t>Receive shares in exchange and deliver shares to buyer.</t>
    <phoneticPr fontId="2" type="noConversion"/>
  </si>
  <si>
    <t>You will earn the repo rate on this cash while the position is open.</t>
    <phoneticPr fontId="2" type="noConversion"/>
  </si>
  <si>
    <t>But the bad news is that the specialness is 300 bps and the general collateral repo rate is 3%, so you will earn 0 on this repo.</t>
    <phoneticPr fontId="2" type="noConversion"/>
  </si>
  <si>
    <t>settle:</t>
    <phoneticPr fontId="2" type="noConversion"/>
  </si>
  <si>
    <t>Issue</t>
    <phoneticPr fontId="2" type="noConversion"/>
  </si>
  <si>
    <t>Mat</t>
    <phoneticPr fontId="2" type="noConversion"/>
  </si>
  <si>
    <t>Cpn</t>
    <phoneticPr fontId="2" type="noConversion"/>
  </si>
  <si>
    <t>price</t>
    <phoneticPr fontId="2" type="noConversion"/>
  </si>
  <si>
    <t>YTM</t>
    <phoneticPr fontId="2" type="noConversion"/>
  </si>
  <si>
    <t>11/15/2029 5.5%</t>
    <phoneticPr fontId="2" type="noConversion"/>
  </si>
  <si>
    <t>Bid:</t>
    <phoneticPr fontId="2" type="noConversion"/>
  </si>
  <si>
    <t>102-06</t>
    <phoneticPr fontId="2" type="noConversion"/>
  </si>
  <si>
    <t>Ask:</t>
    <phoneticPr fontId="2" type="noConversion"/>
  </si>
  <si>
    <t>8/15/2029 6%</t>
    <phoneticPr fontId="2" type="noConversion"/>
  </si>
  <si>
    <t>100-13</t>
    <phoneticPr fontId="2" type="noConversion"/>
  </si>
  <si>
    <t>100-13+</t>
    <phoneticPr fontId="2" type="noConversion"/>
  </si>
  <si>
    <t>102-07</t>
    <phoneticPr fontId="2" type="noConversion"/>
  </si>
  <si>
    <t>Step 1 is to compute the yields to maturity on these 2 notes.</t>
    <phoneticPr fontId="2" type="noConversion"/>
  </si>
  <si>
    <t xml:space="preserve">  Ordinarily, I recommend laying out the time line of future cash flows and using solver, but since our</t>
    <phoneticPr fontId="2" type="noConversion"/>
  </si>
  <si>
    <t xml:space="preserve">     focus here is on capturing the on-the-run premium, we'll use Excel's yield function.</t>
    <phoneticPr fontId="2" type="noConversion"/>
  </si>
  <si>
    <t>(Note that Excel assumes that the provided prices are clean prices, whereas in our analysis, we would use the cash price.</t>
    <phoneticPr fontId="2" type="noConversion"/>
  </si>
  <si>
    <t xml:space="preserve">    -- Excel automatically computes the cash price before computing the yield.  --We hope!)</t>
    <phoneticPr fontId="2" type="noConversion"/>
  </si>
  <si>
    <t>Armed with these yields, we can compute the on-the-run premium:</t>
    <phoneticPr fontId="2" type="noConversion"/>
  </si>
  <si>
    <t xml:space="preserve"> basis points</t>
    <phoneticPr fontId="2" type="noConversion"/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</si>
</sst>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000"/>
    <numFmt numFmtId="167" formatCode="#,##0"/>
    <numFmt numFmtId="168" formatCode="0.0000"/>
    <numFmt numFmtId="170" formatCode="#,##0.00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65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0" borderId="0" xfId="0" quotePrefix="1"/>
    <xf numFmtId="170" fontId="0" fillId="0" borderId="0" xfId="0" applyNumberFormat="1"/>
    <xf numFmtId="170" fontId="1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71"/>
  <sheetViews>
    <sheetView tabSelected="1" topLeftCell="A27" workbookViewId="0">
      <selection activeCell="G72" sqref="G72"/>
    </sheetView>
  </sheetViews>
  <sheetFormatPr baseColWidth="10" defaultRowHeight="13"/>
  <cols>
    <col min="3" max="3" width="14" customWidth="1"/>
    <col min="4" max="4" width="13.85546875" customWidth="1"/>
    <col min="7" max="7" width="11.85546875" customWidth="1"/>
    <col min="10" max="10" width="13.5703125" customWidth="1"/>
  </cols>
  <sheetData>
    <row r="1" spans="1:6">
      <c r="A1" t="s">
        <v>51</v>
      </c>
      <c r="E1" t="s">
        <v>55</v>
      </c>
    </row>
    <row r="2" spans="1:6">
      <c r="A2" t="s">
        <v>52</v>
      </c>
      <c r="B2" t="s">
        <v>56</v>
      </c>
      <c r="C2">
        <f>100+13/32</f>
        <v>100.40625</v>
      </c>
      <c r="E2" t="s">
        <v>53</v>
      </c>
      <c r="F2">
        <f>102+6/32</f>
        <v>102.1875</v>
      </c>
    </row>
    <row r="3" spans="1:6">
      <c r="A3" t="s">
        <v>54</v>
      </c>
      <c r="B3" t="s">
        <v>57</v>
      </c>
      <c r="C3">
        <f>100+13.5/32</f>
        <v>100.421875</v>
      </c>
      <c r="E3" t="s">
        <v>58</v>
      </c>
      <c r="F3">
        <f>102+7/32</f>
        <v>102.21875</v>
      </c>
    </row>
    <row r="4" spans="1:6">
      <c r="A4" t="s">
        <v>45</v>
      </c>
      <c r="B4" s="1">
        <v>42326</v>
      </c>
      <c r="F4" s="1">
        <f>B4</f>
        <v>42326</v>
      </c>
    </row>
    <row r="5" spans="1:6">
      <c r="A5" t="s">
        <v>46</v>
      </c>
      <c r="B5" s="1">
        <v>42322</v>
      </c>
      <c r="F5" s="1">
        <v>42230</v>
      </c>
    </row>
    <row r="6" spans="1:6">
      <c r="A6" t="s">
        <v>47</v>
      </c>
      <c r="B6" s="1">
        <v>45975</v>
      </c>
      <c r="F6" s="1">
        <v>45883</v>
      </c>
    </row>
    <row r="7" spans="1:6">
      <c r="A7" t="s">
        <v>48</v>
      </c>
      <c r="B7" s="2">
        <v>5.5E-2</v>
      </c>
      <c r="F7">
        <v>0.06</v>
      </c>
    </row>
    <row r="8" spans="1:6">
      <c r="A8" t="s">
        <v>49</v>
      </c>
      <c r="B8">
        <f>0.5*(C2+C3)</f>
        <v>100.4140625</v>
      </c>
      <c r="F8">
        <f>0.5*(F2+F3)</f>
        <v>102.203125</v>
      </c>
    </row>
    <row r="9" spans="1:6">
      <c r="A9" t="s">
        <v>31</v>
      </c>
      <c r="B9" s="1">
        <v>42504</v>
      </c>
      <c r="F9" s="1">
        <v>42414</v>
      </c>
    </row>
    <row r="10" spans="1:6">
      <c r="A10" t="s">
        <v>50</v>
      </c>
      <c r="B10">
        <f>YIELD(B4,B6,B7,B8,100,2,1)</f>
        <v>5.4456049973906906E-2</v>
      </c>
      <c r="F10">
        <f>YIELD(F4,F6,F7,F8,100,2,1)</f>
        <v>5.7006573922929522E-2</v>
      </c>
    </row>
    <row r="13" spans="1:6">
      <c r="A13" t="s">
        <v>59</v>
      </c>
    </row>
    <row r="14" spans="1:6">
      <c r="A14" t="s">
        <v>60</v>
      </c>
    </row>
    <row r="15" spans="1:6">
      <c r="A15" t="s">
        <v>61</v>
      </c>
    </row>
    <row r="16" spans="1:6">
      <c r="A16" t="s">
        <v>62</v>
      </c>
    </row>
    <row r="17" spans="1:9">
      <c r="A17" t="s">
        <v>63</v>
      </c>
    </row>
    <row r="19" spans="1:9">
      <c r="A19" t="s">
        <v>64</v>
      </c>
      <c r="F19">
        <f>(F10-B10)*10000</f>
        <v>25.505239490226163</v>
      </c>
      <c r="G19" t="s">
        <v>65</v>
      </c>
    </row>
    <row r="21" spans="1:9">
      <c r="A21" t="s">
        <v>26</v>
      </c>
    </row>
    <row r="22" spans="1:9">
      <c r="A22" t="s">
        <v>27</v>
      </c>
    </row>
    <row r="24" spans="1:9">
      <c r="A24" t="s">
        <v>28</v>
      </c>
      <c r="C24" s="3">
        <v>100000000</v>
      </c>
      <c r="F24" t="s">
        <v>33</v>
      </c>
      <c r="H24" s="3">
        <f>F33/((F3+F29)/100)</f>
        <v>96803670.244790867</v>
      </c>
      <c r="I24" t="s">
        <v>37</v>
      </c>
    </row>
    <row r="25" spans="1:9">
      <c r="I25" t="s">
        <v>38</v>
      </c>
    </row>
    <row r="26" spans="1:9">
      <c r="B26" t="s">
        <v>29</v>
      </c>
    </row>
    <row r="27" spans="1:9">
      <c r="B27" t="s">
        <v>30</v>
      </c>
      <c r="D27" s="2">
        <f>(B4-B5)/(B9-B5)</f>
        <v>2.197802197802198E-2</v>
      </c>
      <c r="F27" s="4">
        <f>(F4-F5)/(F9-F5)</f>
        <v>0.52173913043478259</v>
      </c>
    </row>
    <row r="28" spans="1:9">
      <c r="B28" t="s">
        <v>32</v>
      </c>
      <c r="D28">
        <f>50*B7</f>
        <v>2.75</v>
      </c>
      <c r="F28">
        <f>50*F7</f>
        <v>3</v>
      </c>
    </row>
    <row r="29" spans="1:9">
      <c r="B29" t="s">
        <v>29</v>
      </c>
      <c r="D29">
        <f>D27*D28</f>
        <v>6.0439560439560447E-2</v>
      </c>
      <c r="F29">
        <f>F27*F28</f>
        <v>1.5652173913043477</v>
      </c>
    </row>
    <row r="31" spans="1:9">
      <c r="A31" t="s">
        <v>34</v>
      </c>
      <c r="D31">
        <f>C2+D29</f>
        <v>100.46668956043956</v>
      </c>
      <c r="E31" t="s">
        <v>35</v>
      </c>
      <c r="F31">
        <f>F3+F29</f>
        <v>103.78396739130434</v>
      </c>
    </row>
    <row r="33" spans="1:13">
      <c r="A33" t="s">
        <v>36</v>
      </c>
      <c r="B33" s="3">
        <f>D31/100*C24</f>
        <v>100466689.56043956</v>
      </c>
      <c r="F33" s="3">
        <f>B33</f>
        <v>100466689.56043956</v>
      </c>
    </row>
    <row r="35" spans="1:13">
      <c r="A35" t="s">
        <v>23</v>
      </c>
    </row>
    <row r="37" spans="1:13">
      <c r="A37" t="s">
        <v>39</v>
      </c>
    </row>
    <row r="38" spans="1:13">
      <c r="B38" t="s">
        <v>40</v>
      </c>
      <c r="C38" s="3">
        <f>B33</f>
        <v>100466689.56043956</v>
      </c>
      <c r="J38" t="s">
        <v>5</v>
      </c>
      <c r="M38" s="3">
        <f>F33</f>
        <v>100466689.56043956</v>
      </c>
    </row>
    <row r="39" spans="1:13">
      <c r="A39" t="s">
        <v>41</v>
      </c>
      <c r="C39" s="3">
        <f>-C38</f>
        <v>-100466689.56043956</v>
      </c>
      <c r="J39" t="s">
        <v>6</v>
      </c>
    </row>
    <row r="40" spans="1:13">
      <c r="A40" t="s">
        <v>42</v>
      </c>
      <c r="J40" t="s">
        <v>7</v>
      </c>
      <c r="M40">
        <v>0.03</v>
      </c>
    </row>
    <row r="41" spans="1:13">
      <c r="A41" t="s">
        <v>43</v>
      </c>
    </row>
    <row r="42" spans="1:13">
      <c r="A42" t="s">
        <v>44</v>
      </c>
    </row>
    <row r="45" spans="1:13">
      <c r="A45" t="s">
        <v>9</v>
      </c>
      <c r="C45" t="s">
        <v>8</v>
      </c>
      <c r="D45" s="1">
        <v>42417</v>
      </c>
    </row>
    <row r="46" spans="1:13">
      <c r="D46" t="s">
        <v>10</v>
      </c>
      <c r="F46">
        <f>D45-B4</f>
        <v>91</v>
      </c>
    </row>
    <row r="48" spans="1:13">
      <c r="A48" t="s">
        <v>11</v>
      </c>
      <c r="D48" s="7">
        <f>-F46*M40/360*B33</f>
        <v>-761872.39583333337</v>
      </c>
    </row>
    <row r="50" spans="1:11">
      <c r="A50" t="s">
        <v>12</v>
      </c>
    </row>
    <row r="51" spans="1:11">
      <c r="B51" t="s">
        <v>13</v>
      </c>
      <c r="D51">
        <f>F10</f>
        <v>5.7006573922929522E-2</v>
      </c>
      <c r="G51" t="s">
        <v>17</v>
      </c>
      <c r="I51">
        <f>F10</f>
        <v>5.7006573922929522E-2</v>
      </c>
    </row>
    <row r="52" spans="1:11">
      <c r="B52" s="5" t="s">
        <v>14</v>
      </c>
      <c r="D52">
        <f>PRICE(D45,B6,B7,D51,100,2,1)</f>
        <v>98.506502968357537</v>
      </c>
      <c r="G52" s="5" t="s">
        <v>14</v>
      </c>
      <c r="I52">
        <f>PRICE(D45,F6,F7,I51,100,2,1)</f>
        <v>102.1704374800443</v>
      </c>
    </row>
    <row r="53" spans="1:11">
      <c r="B53" t="s">
        <v>29</v>
      </c>
    </row>
    <row r="54" spans="1:11">
      <c r="C54">
        <f>(D45-B5)/(B9-B5)*50*B7</f>
        <v>1.4354395604395607</v>
      </c>
      <c r="G54" t="s">
        <v>29</v>
      </c>
      <c r="H54">
        <f>(D45-F9)/(K55-F9)*50*F7</f>
        <v>4.9450549450549455E-2</v>
      </c>
    </row>
    <row r="55" spans="1:11">
      <c r="B55" t="s">
        <v>15</v>
      </c>
      <c r="D55">
        <f>D52+C54</f>
        <v>99.941942528797099</v>
      </c>
      <c r="G55" t="s">
        <v>21</v>
      </c>
      <c r="H55">
        <f>I52+H54</f>
        <v>102.21988802949485</v>
      </c>
      <c r="J55" t="s">
        <v>18</v>
      </c>
      <c r="K55" s="1">
        <v>42596</v>
      </c>
    </row>
    <row r="56" spans="1:11">
      <c r="B56" t="s">
        <v>16</v>
      </c>
      <c r="D56" s="7">
        <f>-D55/100*C24</f>
        <v>-99941942.528797105</v>
      </c>
      <c r="G56" t="s">
        <v>19</v>
      </c>
      <c r="J56" s="7">
        <f>H24/2*F7</f>
        <v>2904110.1073437259</v>
      </c>
    </row>
    <row r="57" spans="1:11">
      <c r="G57" t="s">
        <v>20</v>
      </c>
      <c r="J57" s="7">
        <f>H55/100*H24</f>
        <v>98952603.332666636</v>
      </c>
    </row>
    <row r="62" spans="1:11">
      <c r="A62" s="7" t="s">
        <v>22</v>
      </c>
      <c r="C62" s="7">
        <f>D48+D56+J56+J57</f>
        <v>1152898.5153799355</v>
      </c>
    </row>
    <row r="66" spans="1:7">
      <c r="A66" t="s">
        <v>24</v>
      </c>
      <c r="G66" s="7">
        <f>J56+J57+D56</f>
        <v>1914770.9112132639</v>
      </c>
    </row>
    <row r="67" spans="1:7">
      <c r="A67" s="5" t="s">
        <v>25</v>
      </c>
    </row>
    <row r="68" spans="1:7">
      <c r="C68" t="s">
        <v>0</v>
      </c>
      <c r="G68" s="6"/>
    </row>
    <row r="70" spans="1:7">
      <c r="C70" t="s">
        <v>1</v>
      </c>
      <c r="D70" s="6">
        <f>G66</f>
        <v>1914770.9112132639</v>
      </c>
      <c r="G70" s="6"/>
    </row>
    <row r="71" spans="1:7">
      <c r="C71" t="s">
        <v>2</v>
      </c>
      <c r="D71">
        <f>D70/(91/360*B33)</f>
        <v>7.5397307541989145E-2</v>
      </c>
      <c r="E71" t="s">
        <v>3</v>
      </c>
      <c r="F71" s="8">
        <f>D71*10000</f>
        <v>753.97307541989142</v>
      </c>
      <c r="G71" t="s">
        <v>4</v>
      </c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Arizona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Chris Lamoureux</cp:lastModifiedBy>
  <dcterms:created xsi:type="dcterms:W3CDTF">2018-10-14T17:06:45Z</dcterms:created>
  <dcterms:modified xsi:type="dcterms:W3CDTF">2018-10-14T23:48:58Z</dcterms:modified>
</cp:coreProperties>
</file>