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90" windowWidth="20850" windowHeight="12780" activeTab="0"/>
  </bookViews>
  <sheets>
    <sheet name="Caps" sheetId="1" r:id="rId1"/>
    <sheet name="blacks" sheetId="2" r:id="rId2"/>
    <sheet name="swaptions" sheetId="3" r:id="rId3"/>
  </sheets>
  <definedNames>
    <definedName name="solver_adj" localSheetId="1" hidden="1">'blacks'!$C$99</definedName>
    <definedName name="solver_adj" localSheetId="0" hidden="1">'Caps'!$B$66</definedName>
    <definedName name="solver_cvg" localSheetId="1" hidden="1">0.0001</definedName>
    <definedName name="solver_cvg" localSheetId="0" hidden="1">0.0001</definedName>
    <definedName name="solver_drv" localSheetId="1" hidden="1">2</definedName>
    <definedName name="solver_drv" localSheetId="0" hidden="1">1</definedName>
    <definedName name="solver_est" localSheetId="1" hidden="1">1</definedName>
    <definedName name="solver_est" localSheetId="0" hidden="1">1</definedName>
    <definedName name="solver_itr" localSheetId="1" hidden="1">100</definedName>
    <definedName name="solver_itr" localSheetId="0" hidden="1">100</definedName>
    <definedName name="solver_lin" localSheetId="1" hidden="1">2</definedName>
    <definedName name="solver_lin" localSheetId="0" hidden="1">2</definedName>
    <definedName name="solver_neg" localSheetId="1" hidden="1">2</definedName>
    <definedName name="solver_neg" localSheetId="0" hidden="1">2</definedName>
    <definedName name="solver_num" localSheetId="1" hidden="1">0</definedName>
    <definedName name="solver_num" localSheetId="0" hidden="1">0</definedName>
    <definedName name="solver_nwt" localSheetId="1" hidden="1">1</definedName>
    <definedName name="solver_nwt" localSheetId="0" hidden="1">1</definedName>
    <definedName name="solver_opt" localSheetId="1" hidden="1">'blacks'!$J$137</definedName>
    <definedName name="solver_opt" localSheetId="0" hidden="1">'Caps'!$B$72</definedName>
    <definedName name="solver_pre" localSheetId="1" hidden="1">0.00000000000000001</definedName>
    <definedName name="solver_pre" localSheetId="0" hidden="1">0.000001</definedName>
    <definedName name="solver_scl" localSheetId="1" hidden="1">1</definedName>
    <definedName name="solver_scl" localSheetId="0" hidden="1">2</definedName>
    <definedName name="solver_sho" localSheetId="1" hidden="1">2</definedName>
    <definedName name="solver_sho" localSheetId="0" hidden="1">2</definedName>
    <definedName name="solver_tim" localSheetId="1" hidden="1">100</definedName>
    <definedName name="solver_tim" localSheetId="0" hidden="1">100</definedName>
    <definedName name="solver_tol" localSheetId="1" hidden="1">0.000005</definedName>
    <definedName name="solver_tol" localSheetId="0" hidden="1">0.05</definedName>
    <definedName name="solver_typ" localSheetId="1" hidden="1">2</definedName>
    <definedName name="solver_typ" localSheetId="0" hidden="1">2</definedName>
    <definedName name="solver_val" localSheetId="1" hidden="1">0</definedName>
    <definedName name="solver_val" localSheetId="0" hidden="1">0</definedName>
  </definedNames>
  <calcPr fullCalcOnLoad="1"/>
</workbook>
</file>

<file path=xl/sharedStrings.xml><?xml version="1.0" encoding="utf-8"?>
<sst xmlns="http://schemas.openxmlformats.org/spreadsheetml/2006/main" count="290" uniqueCount="237">
  <si>
    <t>Example:</t>
  </si>
  <si>
    <t>Caps and Floors Defined.</t>
  </si>
  <si>
    <t>Caps and floors trade over the counter, and are tools that companies can use to manage interest rate exposure,</t>
  </si>
  <si>
    <t xml:space="preserve">and that fixed income managers can use to make trading profits and manage their portfolio </t>
  </si>
  <si>
    <t>A cap can be associated with any underlying interest rate.  For the most part, they are linked to LIBOR.</t>
  </si>
  <si>
    <t>A cap must specify a cap rate--which is the strike price of the option, a notional principle, used to compute the cash flows, and</t>
  </si>
  <si>
    <t>a tenor, which indicates the term of the rate as well as the frequency of resets and payments.</t>
  </si>
  <si>
    <t>Cap on three-month LIBOR with three-month tenor</t>
  </si>
  <si>
    <t>Notional Principal of $10 million</t>
  </si>
  <si>
    <t>Cap Rate 4.78821%</t>
  </si>
  <si>
    <t>Current Date 12/14/05</t>
  </si>
  <si>
    <t>Valuation Date 12/16/05</t>
  </si>
  <si>
    <t>Maturity: 12/16/10</t>
  </si>
  <si>
    <t>This cap is shown on the Bloomberg screen.</t>
  </si>
  <si>
    <t>The cash flows on this cap follow:</t>
  </si>
  <si>
    <t>Date</t>
  </si>
  <si>
    <t>Cash flow</t>
  </si>
  <si>
    <r>
      <t>(L(3) - X)</t>
    </r>
    <r>
      <rPr>
        <vertAlign val="superscript"/>
        <sz val="10"/>
        <rFont val="Arial"/>
        <family val="2"/>
      </rPr>
      <t xml:space="preserve">+  </t>
    </r>
    <r>
      <rPr>
        <sz val="10"/>
        <rFont val="Arial"/>
        <family val="2"/>
      </rPr>
      <t>P (dc)</t>
    </r>
  </si>
  <si>
    <t xml:space="preserve"> -</t>
  </si>
  <si>
    <t>Reset Amt  (R(T))</t>
  </si>
  <si>
    <t>R(T-1)</t>
  </si>
  <si>
    <t>here dc is the percentage of the year between the reset date and the payment date.</t>
  </si>
  <si>
    <t>In this particular case, we use the actual number of days divided by 360.</t>
  </si>
  <si>
    <t>So if on any of the reset dates, (Spot) 3-Mo LIBOR is less than the cap rate, the cash flow 3 months later is 0.</t>
  </si>
  <si>
    <t>Suppose that on 9/16/06, spot 3-month LIBOR is 5.2%.</t>
  </si>
  <si>
    <t>Reset Date:</t>
  </si>
  <si>
    <t>Pay Date</t>
  </si>
  <si>
    <t xml:space="preserve">  In this case, the cash flow on 12/16/06 will be calculated as follows:</t>
  </si>
  <si>
    <t>Not Princ</t>
  </si>
  <si>
    <t>Cap Rate</t>
  </si>
  <si>
    <t>Days between:</t>
  </si>
  <si>
    <t>dc</t>
  </si>
  <si>
    <t>Cash Flow:</t>
  </si>
  <si>
    <t>Spot LIBOR</t>
  </si>
  <si>
    <t>We know exactly how to value a certain cash flow that occurs on this future date.  We would use the discount factor.</t>
  </si>
  <si>
    <t xml:space="preserve">  This is the discount rate from the Bloomberg "Curves" screen:</t>
  </si>
  <si>
    <t>Note that the one-year discount factor is 0.953072</t>
  </si>
  <si>
    <t>Spot Rate</t>
  </si>
  <si>
    <t xml:space="preserve">  This is how the discount is computed, but we can't replicate</t>
  </si>
  <si>
    <t xml:space="preserve">   Bloomberg because of the day count conventions.</t>
  </si>
  <si>
    <t>Note that each of the Reset/Payment events is a caplet.</t>
  </si>
  <si>
    <t>As such, a cap is a portfolio of caplets.</t>
  </si>
  <si>
    <t xml:space="preserve">  forward rate is 4.83516%</t>
  </si>
  <si>
    <t>So turn to the 9/14/06 settlement.  We see on the attached Bloomberg screen that the corresponding</t>
  </si>
  <si>
    <t>We also see that the volatility (used in describing the caplet value) is 11.8%.</t>
  </si>
  <si>
    <t>Mean rate (= forward rate):</t>
  </si>
  <si>
    <t>std dev (1-Yr)</t>
  </si>
  <si>
    <t>Var * T</t>
  </si>
  <si>
    <t>Term (Years)</t>
  </si>
  <si>
    <t>Mean of log rate:</t>
  </si>
  <si>
    <t>Var of log rate:</t>
  </si>
  <si>
    <t>std dev of log rate:</t>
  </si>
  <si>
    <t xml:space="preserve">  (Again approximate)</t>
  </si>
  <si>
    <t>This means that for valuing this caplet, the probability description of the 3-month LIBOR spot rate, 9 months from</t>
  </si>
  <si>
    <t>now is lognormal, with mean and standard deviation computed as follows:</t>
  </si>
  <si>
    <t>Grid used to describe the probability of the future spot rate:</t>
  </si>
  <si>
    <t>Grid Pts</t>
  </si>
  <si>
    <t>CDF</t>
  </si>
  <si>
    <t>pdf</t>
  </si>
  <si>
    <t>So the cumulative density looks like this:</t>
  </si>
  <si>
    <t>And the probability density function looks like this:</t>
  </si>
  <si>
    <r>
      <t xml:space="preserve">Let me stress that this is not the market's distribution of the 90-Day spot LIBOR in 9 months.  Instead it is that as it relates to valuing an option (the </t>
    </r>
    <r>
      <rPr>
        <b/>
        <i/>
        <sz val="10"/>
        <rFont val="Arial"/>
        <family val="2"/>
      </rPr>
      <t>forward risk neutral world).</t>
    </r>
  </si>
  <si>
    <t>Black's Model values each caplet in a distinct forward risk-neutral world.</t>
  </si>
  <si>
    <t>As is the case in the Black-Scholes Model, we take the discounted expected cash flows from the option.  The difference is that Black-Scholes uses the equivalent risk-neutral world,</t>
  </si>
  <si>
    <t>whereas Black's model uses the forward risk-neutral world corresponding to each caplet.</t>
  </si>
  <si>
    <t>I wrote a VB macro to evaluate a caplet using Black's model, and the type of input from Bloomberg:</t>
  </si>
  <si>
    <t>reset date</t>
  </si>
  <si>
    <t>pay date</t>
  </si>
  <si>
    <t>today</t>
  </si>
  <si>
    <t>Bloomberg gives</t>
  </si>
  <si>
    <t>The intuition behind this value is as follows:</t>
  </si>
  <si>
    <t>1) What is the equivalent risk-neutral probability that we would exercise this caplet?</t>
  </si>
  <si>
    <t xml:space="preserve">The strike rate is </t>
  </si>
  <si>
    <t xml:space="preserve">  which is less than the expected  3-month rate (in the forward risk-neutral world)</t>
  </si>
  <si>
    <t>We look at the pdf graph and ask for the probability that 90-LIBOR will exceed the strike rate.</t>
  </si>
  <si>
    <t xml:space="preserve">  So in this case, there's a 51.8%  probability that this caplet will be in the money when it expires.</t>
  </si>
  <si>
    <t>(This is N(d2))</t>
  </si>
  <si>
    <t>So what we expect to get if we exercise:</t>
  </si>
  <si>
    <t xml:space="preserve">    what this costs:</t>
  </si>
  <si>
    <t>Cap Rate:</t>
  </si>
  <si>
    <t>Discount</t>
  </si>
  <si>
    <t xml:space="preserve"> is the probability associated with this truncated mean.</t>
  </si>
  <si>
    <t xml:space="preserve">  Again, ignoring day-count issues.</t>
  </si>
  <si>
    <t>2) What is the expected value under the truncated distribution--where we only look at the portion above the exercise price.</t>
  </si>
  <si>
    <t>(This is N(d1))</t>
  </si>
  <si>
    <t>3) Bring this expected value back to today.</t>
  </si>
  <si>
    <t>For the most part, the market does not use Black's model to value caps and floors, so much as it uses this model as a tool to characterize the prices.</t>
  </si>
  <si>
    <t>as we move out in time.</t>
  </si>
  <si>
    <t>Floors work analogously to caps.  We can think of a caplet as a call option on the future spot rate, the floorlet is an analogous put option.  Its institutional features</t>
  </si>
  <si>
    <t>are identical to caps'.</t>
  </si>
  <si>
    <t>Furthermore, there is a put-call-parity relationship between caps, floors, and swaps.</t>
  </si>
  <si>
    <r>
      <t xml:space="preserve">We could, of course solve for a cap value by forcing all caplet vols to be the same.  Such a situation is called </t>
    </r>
    <r>
      <rPr>
        <i/>
        <sz val="10"/>
        <rFont val="Arial"/>
        <family val="2"/>
      </rPr>
      <t>flat volatilities.</t>
    </r>
  </si>
  <si>
    <t>Consider a trader who is long the caplet and short the floorlet.</t>
  </si>
  <si>
    <t>If 90-Day LIBOR, 9 months from now is above the cap rate, then this trader will receive the tenor-adjusted difference times the notional principal.</t>
  </si>
  <si>
    <t>If 90-Day LIBOR, 9 months from now is below the cap (floor) rate, then this trader will pay the tenor-adjusted difference times the notional principal.</t>
  </si>
  <si>
    <t>These are exactly the same state-dependent cash flows that this date's position in a receiver (of floating rate) swap, where the swap makes its owner pay the</t>
  </si>
  <si>
    <t>fixed rate (equal to the cap/floor rate), and receive 90-Day LIBOR (90 days hence).</t>
  </si>
  <si>
    <t>So in this case, the value of such a swap is:</t>
  </si>
  <si>
    <t>The "Swap Rate" is that rate which such a swap holder pays fixed makes the value of the swap 0.</t>
  </si>
  <si>
    <t>As such one way to solve for the swap rate would be to use Solver to identify such a strike price:</t>
  </si>
  <si>
    <t xml:space="preserve">  We find the rate to be 4.835%.</t>
  </si>
  <si>
    <t xml:space="preserve">   --which, of course is the forward rate.</t>
  </si>
  <si>
    <t>next expiry</t>
  </si>
  <si>
    <t>The delta of a floorlet is -N(-d1):</t>
  </si>
  <si>
    <t>We will first review swaps.</t>
  </si>
  <si>
    <r>
      <t xml:space="preserve">An interest rate swap is a portfolio of </t>
    </r>
    <r>
      <rPr>
        <b/>
        <sz val="10"/>
        <color indexed="10"/>
        <rFont val="Arial"/>
        <family val="2"/>
      </rPr>
      <t>forward rate agreements.</t>
    </r>
  </si>
  <si>
    <t>A forward rate agreement (FRA) entails the exchange of a pre-determined interest rate for the market rate at a pre-sepcified date, on a pre-specified notional principal.</t>
  </si>
  <si>
    <t>A FRA is valued by assuming that the current market forward rate will be realized at at swap date.</t>
  </si>
  <si>
    <t>Thus, swap valuation entails the following steps:</t>
  </si>
  <si>
    <t xml:space="preserve">  1) Ascertain the relevant LIBOR forward rates,</t>
  </si>
  <si>
    <t>FRAs and swaps are priced to have 0 value at origination.  The "price" is the pre-specified fixed rate that will be exchanged for the market rate in the future.</t>
  </si>
  <si>
    <t>In the previous sheet, we saw that the one-period swap (I.e., a FRA) will have a price equal to the relevant forward rate.</t>
  </si>
  <si>
    <t xml:space="preserve">  2) Calculate the cash flows that will accrue -- assuming that the realized future floating rates equal relevant the forward rates.</t>
  </si>
  <si>
    <t xml:space="preserve">  3) The value of the swap is the PV of these cash flows.  (So at origination, the fixed "swap rate" will be the rate that makes the PV of these flows equal to 0.)</t>
  </si>
  <si>
    <t>Notional Principal:</t>
  </si>
  <si>
    <t>6-Mo LIBOR at last reset date:</t>
  </si>
  <si>
    <t>Continuously Compd LIBOR - 3-Mo:</t>
  </si>
  <si>
    <t>Continuously Compd LIBOR - 9-Mo:</t>
  </si>
  <si>
    <t>Continuously Compd LIBOR - 15-Mo:</t>
  </si>
  <si>
    <t>Valuation:</t>
  </si>
  <si>
    <t>Time</t>
  </si>
  <si>
    <t>PV</t>
  </si>
  <si>
    <t>Fixed Rate:</t>
  </si>
  <si>
    <t>disct</t>
  </si>
  <si>
    <t>forward</t>
  </si>
  <si>
    <t>term</t>
  </si>
  <si>
    <t>cash flow</t>
  </si>
  <si>
    <t>Here's an already existing swap where the holder pays 6-month LIBOR in exchange for 8% (fixed) (semi-annual compounding applies).</t>
  </si>
  <si>
    <t>Value of Swap:</t>
  </si>
  <si>
    <t>Sem-Ann Frwd</t>
  </si>
  <si>
    <t xml:space="preserve">  Semi-annual compounding)</t>
  </si>
  <si>
    <t>Swaptions</t>
  </si>
  <si>
    <t>The third application of Black's model is to swaptions.  A swaption is an option to enter a swap agreement.</t>
  </si>
  <si>
    <t>Scenario:</t>
  </si>
  <si>
    <t>LIBOR yield curve is flat at 6% per annum (continuous compounding).</t>
  </si>
  <si>
    <t>Vol at 5 years :</t>
  </si>
  <si>
    <t xml:space="preserve">   (translates into:</t>
  </si>
  <si>
    <t xml:space="preserve">  on a semi-annual compounding basis.)</t>
  </si>
  <si>
    <t xml:space="preserve">  Consider an option to enter a 3-Year swap in 5 years, with semiannual payments and notional principal of:</t>
  </si>
  <si>
    <t>1) Payer Swaption (I.e., right to pay fixed over the swap's life).</t>
  </si>
  <si>
    <t>Strike:</t>
  </si>
  <si>
    <t>IdentifyCash flows:</t>
  </si>
  <si>
    <t>Years ahead</t>
  </si>
  <si>
    <t>tenor</t>
  </si>
  <si>
    <t>$ Multiplier</t>
  </si>
  <si>
    <t xml:space="preserve">  Total Value discount.</t>
  </si>
  <si>
    <t xml:space="preserve">  Since we have a flat curve, this is the forward swap rate.</t>
  </si>
  <si>
    <t>d1</t>
  </si>
  <si>
    <t>T:</t>
  </si>
  <si>
    <t>N(d1)</t>
  </si>
  <si>
    <t>d2</t>
  </si>
  <si>
    <t>N(d2)</t>
  </si>
  <si>
    <t xml:space="preserve">  (A Call option on the swap rate -- valued in the forward risk neutral world.)</t>
  </si>
  <si>
    <t>f N(d1)</t>
  </si>
  <si>
    <t>X N(d2)</t>
  </si>
  <si>
    <t>Option Value:</t>
  </si>
  <si>
    <t>N(-d2)</t>
  </si>
  <si>
    <t>N(-d1)</t>
  </si>
  <si>
    <t>X N(-d2)</t>
  </si>
  <si>
    <t>f N(-d1)</t>
  </si>
  <si>
    <t>In the spirit of Black's model, we will value swaptions by assuming that the swap rate at the maturity of the option is a lognormally distributed random variable.</t>
  </si>
  <si>
    <t>2) Receiver Swaption (I.e., Right to receive fixed (pay floating LIBOR) over the swap's life).  (A Put option on the swap rate).</t>
  </si>
  <si>
    <t>Payer Swap Value</t>
  </si>
  <si>
    <t>Total Swap Value:</t>
  </si>
  <si>
    <t xml:space="preserve">    Verification of Put-Call Parity</t>
  </si>
  <si>
    <t xml:space="preserve">   (Long a Payer Swaption and Write a Receiver Swaption is equivalent to entering into the forward swap.</t>
  </si>
  <si>
    <t>Expected $ value (in 1 Year)</t>
  </si>
  <si>
    <t>Notional Principal</t>
  </si>
  <si>
    <t xml:space="preserve">  This corresponds to the effect of a small change in the forward rate on the Cap Value.</t>
  </si>
  <si>
    <t xml:space="preserve">    it equals N(d1) * P* tenor * disct</t>
  </si>
  <si>
    <t>Numerical computation of derivatives and hedging.</t>
  </si>
  <si>
    <t>Derivatives can be calculated numerically by looking at the effect of a small change in a function's input on the value of the function.</t>
  </si>
  <si>
    <t>Example: The Caplet's Delta:</t>
  </si>
  <si>
    <t>Start with the current value of the function:</t>
  </si>
  <si>
    <t>Identify the small change in the imput:</t>
  </si>
  <si>
    <t/>
  </si>
  <si>
    <t>Evaluate the function by adding this small change:</t>
  </si>
  <si>
    <t>Change in the function:</t>
  </si>
  <si>
    <t>Chg in F'n / Chg in Input:</t>
  </si>
  <si>
    <t>Hedge Portfolio:</t>
  </si>
  <si>
    <t>Long in the FRA:</t>
  </si>
  <si>
    <t>Current</t>
  </si>
  <si>
    <t>Change in F</t>
  </si>
  <si>
    <t>New</t>
  </si>
  <si>
    <t xml:space="preserve">  Units:</t>
  </si>
  <si>
    <t xml:space="preserve">    Numerical approximation to N(D1).</t>
  </si>
  <si>
    <t>Sell 1/Delta units of the cap:</t>
  </si>
  <si>
    <t>Portfolio</t>
  </si>
  <si>
    <t>DV01</t>
  </si>
  <si>
    <t>Discount Effect:</t>
  </si>
  <si>
    <t>T</t>
  </si>
  <si>
    <t>-LN(disct)/T</t>
  </si>
  <si>
    <t>add 1 bp:</t>
  </si>
  <si>
    <t>New Discount:</t>
  </si>
  <si>
    <t>Discount:</t>
  </si>
  <si>
    <t>Identify the small change in the input:</t>
  </si>
  <si>
    <t>Vega:</t>
  </si>
  <si>
    <t>Constructing the forward rate:</t>
  </si>
  <si>
    <t>3-Mo Spot</t>
  </si>
  <si>
    <t>6-Mo Spot</t>
  </si>
  <si>
    <t>FV = (1 + [(r2*d2)/360]) / (1 + [(r1*d1)/360]))</t>
  </si>
  <si>
    <t>forward:</t>
  </si>
  <si>
    <t>Bloomberg's Calculation of Forward Rates</t>
  </si>
  <si>
    <t>Variables:</t>
  </si>
  <si>
    <t>d1 number of days from settlement date until the start date of the forward period (I.e., the Reset Date).</t>
  </si>
  <si>
    <t>d2 number of days from settlement date until the end date of the forward period (I.e., the next Reset Date).</t>
  </si>
  <si>
    <t>FV = future value:</t>
  </si>
  <si>
    <t>FV = (1 + [(r2*d2)/360]) / (1 + [(r1*d1) / 360]))</t>
  </si>
  <si>
    <t>r1 spot rate for d1 days.</t>
  </si>
  <si>
    <t>r2 spot rate for d2 days.</t>
  </si>
  <si>
    <t>f = forward rate = [(FV - 1) / (d2-d1)] * 360</t>
  </si>
  <si>
    <t>So, for example for the caplet that is reset on 9/14/06,</t>
  </si>
  <si>
    <t>r1</t>
  </si>
  <si>
    <t>r2</t>
  </si>
  <si>
    <t>FV</t>
  </si>
  <si>
    <t>f</t>
  </si>
  <si>
    <t xml:space="preserve">    Note that this corresponds to the Reset Rate used to value the caplet that resets on 9/14/06.  (See the next worksheet.)</t>
  </si>
  <si>
    <t>Risk-Neutral</t>
  </si>
  <si>
    <t>Expected</t>
  </si>
  <si>
    <t>In particular, prices are often expressed as implied volatilities.  Notice on the Bloomberg valuation screen that the implied volatilities are getting higher</t>
  </si>
  <si>
    <r>
      <t xml:space="preserve">As in the valuation screen there is a (potentially) different implied vol for each caplet.  This is a method sometimes called </t>
    </r>
    <r>
      <rPr>
        <i/>
        <sz val="10"/>
        <rFont val="Arial"/>
        <family val="2"/>
      </rPr>
      <t>spot volatilities.</t>
    </r>
  </si>
  <si>
    <t xml:space="preserve">       Black's Model uses this annuity as the</t>
  </si>
  <si>
    <t xml:space="preserve">        numeraire in valuing the swaption.</t>
  </si>
  <si>
    <t xml:space="preserve">  (The Expected Future Swap Rate equals</t>
  </si>
  <si>
    <t xml:space="preserve">    the forward swap rate.)</t>
  </si>
  <si>
    <t>Bloomberg's Intrinsic PV:</t>
  </si>
  <si>
    <t>Our,reconciliation:</t>
  </si>
  <si>
    <t>Use the Normdist function which allows us</t>
  </si>
  <si>
    <t xml:space="preserve"> to get the exact pdf:</t>
  </si>
  <si>
    <t>cdf</t>
  </si>
  <si>
    <t>Black's Model is similar to the Black and Scholes option pricing model.  It was originally developed by Fisher Black to price an option on a forward contract</t>
  </si>
  <si>
    <t>--which, unlike a stock, does not entail an initial cash outlay.</t>
  </si>
  <si>
    <t>Since we are in the fixed income world, valuing an option on a future interest rate or bond, is potentially complicated by the fact that it doesn't make much sense\</t>
  </si>
  <si>
    <t xml:space="preserve">   to assume a fixed interest rate over the option's term as in the Black-Scholes model.  This is where the change in numeraire comes in handy.  We know</t>
  </si>
  <si>
    <t xml:space="preserve">   what $1 at the option's expiration is worth today--so we can use that as our numeraire (i.e., a forward-dated numeraire).</t>
  </si>
  <si>
    <t>This means that we are using the forward price or rate as the underlying asset, but that is fine because at maturity the forward price equals the spot price.</t>
  </si>
  <si>
    <t>Black's model assumes that the forward interest rate follows a lognormal process.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</si>
</sst>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yyyy"/>
    <numFmt numFmtId="165" formatCode="&quot;$&quot;#,##0.00"/>
    <numFmt numFmtId="166" formatCode="&quot;$&quot;#,##0"/>
    <numFmt numFmtId="167" formatCode="&quot;$&quot;#,##0.0"/>
  </numFmts>
  <fonts count="46">
    <font>
      <sz val="10"/>
      <name val="Arial"/>
      <family val="0"/>
    </font>
    <font>
      <b/>
      <i/>
      <sz val="10"/>
      <name val="Arial"/>
      <family val="2"/>
    </font>
    <font>
      <i/>
      <sz val="10"/>
      <name val="Arial"/>
      <family val="2"/>
    </font>
    <font>
      <vertAlign val="superscript"/>
      <sz val="10"/>
      <name val="Arial"/>
      <family val="2"/>
    </font>
    <font>
      <b/>
      <sz val="10"/>
      <name val="Arial"/>
      <family val="2"/>
    </font>
    <font>
      <sz val="12"/>
      <name val="Tahoma"/>
      <family val="2"/>
    </font>
    <font>
      <b/>
      <sz val="10"/>
      <color indexed="10"/>
      <name val="Arial"/>
      <family val="2"/>
    </font>
    <font>
      <sz val="12"/>
      <color indexed="16"/>
      <name val="Tahoma"/>
      <family val="2"/>
    </font>
    <font>
      <b/>
      <sz val="12"/>
      <color indexed="16"/>
      <name val="Tahoma"/>
      <family val="2"/>
    </font>
    <font>
      <sz val="10"/>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0"/>
      <color indexed="8"/>
      <name val="Arial"/>
      <family val="2"/>
    </font>
    <font>
      <sz val="8.45"/>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6"/>
        <bgColor indexed="64"/>
      </patternFill>
    </fill>
    <fill>
      <patternFill patternType="solid">
        <fgColor indexed="3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4">
    <xf numFmtId="0" fontId="0" fillId="0" borderId="0" xfId="0" applyAlignment="1">
      <alignment/>
    </xf>
    <xf numFmtId="0" fontId="0" fillId="0" borderId="0" xfId="0" applyAlignment="1">
      <alignment horizontal="center"/>
    </xf>
    <xf numFmtId="0" fontId="4" fillId="0" borderId="0" xfId="0" applyFont="1" applyAlignment="1">
      <alignment/>
    </xf>
    <xf numFmtId="0" fontId="5" fillId="0" borderId="0" xfId="0" applyFont="1" applyAlignment="1">
      <alignment/>
    </xf>
    <xf numFmtId="14" fontId="0" fillId="0" borderId="0" xfId="0" applyNumberFormat="1" applyAlignment="1">
      <alignment/>
    </xf>
    <xf numFmtId="1" fontId="0" fillId="0" borderId="0" xfId="0" applyNumberFormat="1" applyAlignment="1">
      <alignment/>
    </xf>
    <xf numFmtId="165" fontId="0" fillId="0" borderId="0" xfId="0" applyNumberFormat="1" applyAlignment="1">
      <alignment/>
    </xf>
    <xf numFmtId="166" fontId="0" fillId="0" borderId="0" xfId="0" applyNumberFormat="1" applyAlignment="1">
      <alignment/>
    </xf>
    <xf numFmtId="0" fontId="7" fillId="33" borderId="0" xfId="0" applyFont="1" applyFill="1" applyAlignment="1">
      <alignment/>
    </xf>
    <xf numFmtId="0" fontId="8" fillId="33" borderId="0" xfId="0" applyFont="1" applyFill="1" applyAlignment="1">
      <alignment/>
    </xf>
    <xf numFmtId="0" fontId="0" fillId="0" borderId="0" xfId="0" applyAlignment="1" quotePrefix="1">
      <alignment/>
    </xf>
    <xf numFmtId="0" fontId="7" fillId="34" borderId="0" xfId="0" applyFont="1" applyFill="1" applyAlignment="1">
      <alignment/>
    </xf>
    <xf numFmtId="0" fontId="0" fillId="0" borderId="0" xfId="0" applyFont="1" applyAlignment="1">
      <alignment/>
    </xf>
    <xf numFmtId="0" fontId="0" fillId="0" borderId="0" xfId="0" applyFont="1" applyAlignment="1" quotePrefix="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
        </c:manualLayout>
      </c:layout>
      <c:spPr>
        <a:noFill/>
        <a:ln>
          <a:noFill/>
        </a:ln>
      </c:spPr>
      <c:txPr>
        <a:bodyPr vert="horz" rot="0"/>
        <a:lstStyle/>
        <a:p>
          <a:pPr>
            <a:defRPr lang="en-US" cap="none" sz="1000" b="0" i="0" u="none" baseline="0">
              <a:solidFill>
                <a:srgbClr val="000000"/>
              </a:solidFill>
              <a:latin typeface="Arial"/>
              <a:ea typeface="Arial"/>
              <a:cs typeface="Arial"/>
            </a:defRPr>
          </a:pPr>
        </a:p>
      </c:txPr>
    </c:title>
    <c:plotArea>
      <c:layout>
        <c:manualLayout>
          <c:xMode val="edge"/>
          <c:yMode val="edge"/>
          <c:x val="0.04225"/>
          <c:y val="0.11775"/>
          <c:w val="0.88225"/>
          <c:h val="0.80225"/>
        </c:manualLayout>
      </c:layout>
      <c:scatterChart>
        <c:scatterStyle val="lineMarker"/>
        <c:varyColors val="0"/>
        <c:ser>
          <c:idx val="0"/>
          <c:order val="0"/>
          <c:tx>
            <c:strRef>
              <c:f>blacks!$AA$22</c:f>
              <c:strCache>
                <c:ptCount val="1"/>
                <c:pt idx="0">
                  <c:v>CDF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blacks!$Z$23:$Z$98</c:f>
              <c:numCache/>
            </c:numRef>
          </c:xVal>
          <c:yVal>
            <c:numRef>
              <c:f>blacks!$AA$23:$AA$98</c:f>
              <c:numCache/>
            </c:numRef>
          </c:yVal>
          <c:smooth val="0"/>
        </c:ser>
        <c:axId val="29298360"/>
        <c:axId val="62358649"/>
      </c:scatterChart>
      <c:valAx>
        <c:axId val="29298360"/>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90-Day LIBOR</a:t>
                </a:r>
              </a:p>
            </c:rich>
          </c:tx>
          <c:layout>
            <c:manualLayout>
              <c:xMode val="factor"/>
              <c:yMode val="factor"/>
              <c:x val="-0.00875"/>
              <c:y val="0.001"/>
            </c:manualLayout>
          </c:layout>
          <c:overlay val="0"/>
          <c:spPr>
            <a:noFill/>
            <a:ln>
              <a:noFill/>
            </a:ln>
          </c:spPr>
        </c:title>
        <c:delete val="0"/>
        <c:numFmt formatCode="General" sourceLinked="1"/>
        <c:majorTickMark val="out"/>
        <c:minorTickMark val="none"/>
        <c:tickLblPos val="nextTo"/>
        <c:spPr>
          <a:ln w="3175">
            <a:solidFill>
              <a:srgbClr val="000000"/>
            </a:solidFill>
          </a:ln>
        </c:spPr>
        <c:crossAx val="62358649"/>
        <c:crosses val="autoZero"/>
        <c:crossBetween val="midCat"/>
        <c:dispUnits/>
      </c:valAx>
      <c:valAx>
        <c:axId val="62358649"/>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Cumulative Probability</a:t>
                </a:r>
              </a:p>
            </c:rich>
          </c:tx>
          <c:layout>
            <c:manualLayout>
              <c:xMode val="factor"/>
              <c:yMode val="factor"/>
              <c:x val="-0.00525"/>
              <c:y val="-0.001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9298360"/>
        <c:crosses val="autoZero"/>
        <c:crossBetween val="midCat"/>
        <c:dispUnits/>
      </c:valAx>
      <c:spPr>
        <a:solidFill>
          <a:srgbClr val="C0C0C0"/>
        </a:solidFill>
        <a:ln w="12700">
          <a:solidFill>
            <a:srgbClr val="808080"/>
          </a:solidFill>
        </a:ln>
      </c:spPr>
    </c:plotArea>
    <c:legend>
      <c:legendPos val="r"/>
      <c:layout>
        <c:manualLayout>
          <c:xMode val="edge"/>
          <c:yMode val="edge"/>
          <c:x val="0.938"/>
          <c:y val="0.4705"/>
          <c:w val="0.05825"/>
          <c:h val="0.0495"/>
        </c:manualLayout>
      </c:layout>
      <c:overlay val="0"/>
      <c:spPr>
        <a:solidFill>
          <a:srgbClr val="FFFFFF"/>
        </a:solidFill>
        <a:ln w="3175">
          <a:solidFill>
            <a:srgbClr val="000000"/>
          </a:solidFill>
        </a:ln>
      </c:spPr>
      <c:txPr>
        <a:bodyPr vert="horz" rot="0"/>
        <a:lstStyle/>
        <a:p>
          <a:pPr>
            <a:defRPr lang="en-US" cap="none" sz="84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225"/>
          <c:y val="0.0235"/>
          <c:w val="0.8605"/>
          <c:h val="0.896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blacks!$Z$23:$Z$94</c:f>
              <c:numCache/>
            </c:numRef>
          </c:xVal>
          <c:yVal>
            <c:numRef>
              <c:f>blacks!$AJ$23:$AJ$94</c:f>
              <c:numCache/>
            </c:numRef>
          </c:yVal>
          <c:smooth val="0"/>
        </c:ser>
        <c:axId val="24356930"/>
        <c:axId val="17885779"/>
      </c:scatterChart>
      <c:valAx>
        <c:axId val="24356930"/>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90-Day LIBOR</a:t>
                </a:r>
              </a:p>
            </c:rich>
          </c:tx>
          <c:layout>
            <c:manualLayout>
              <c:xMode val="factor"/>
              <c:yMode val="factor"/>
              <c:x val="-0.00775"/>
              <c:y val="0.001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17885779"/>
        <c:crosses val="autoZero"/>
        <c:crossBetween val="midCat"/>
        <c:dispUnits/>
      </c:valAx>
      <c:valAx>
        <c:axId val="17885779"/>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Probability</a:t>
                </a:r>
              </a:p>
            </c:rich>
          </c:tx>
          <c:layout>
            <c:manualLayout>
              <c:xMode val="factor"/>
              <c:yMode val="factor"/>
              <c:x val="-0.0055"/>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4356930"/>
        <c:crosses val="autoZero"/>
        <c:crossBetween val="midCat"/>
        <c:dispUnits/>
      </c:valAx>
      <c:spPr>
        <a:solidFill>
          <a:srgbClr val="C0C0C0"/>
        </a:solidFill>
        <a:ln w="12700">
          <a:solidFill>
            <a:srgbClr val="808080"/>
          </a:solidFill>
        </a:ln>
      </c:spPr>
    </c:plotArea>
    <c:legend>
      <c:legendPos val="r"/>
      <c:layout>
        <c:manualLayout>
          <c:xMode val="edge"/>
          <c:yMode val="edge"/>
          <c:x val="0.91575"/>
          <c:y val="0.4235"/>
          <c:w val="0.07925"/>
          <c:h val="0.0495"/>
        </c:manualLayout>
      </c:layout>
      <c:overlay val="0"/>
      <c:spPr>
        <a:solidFill>
          <a:srgbClr val="FFFFFF"/>
        </a:solidFill>
        <a:ln w="3175">
          <a:solidFill>
            <a:srgbClr val="000000"/>
          </a:solidFill>
        </a:ln>
      </c:spPr>
      <c:txPr>
        <a:bodyPr vert="horz" rot="0"/>
        <a:lstStyle/>
        <a:p>
          <a:pPr>
            <a:defRPr lang="en-US" cap="none" sz="84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chart" Target="/xl/charts/chart1.xml" /><Relationship Id="rId3"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png" /><Relationship Id="rId3" Type="http://schemas.openxmlformats.org/officeDocument/2006/relationships/image" Target="../media/image6.png" /><Relationship Id="rId4" Type="http://schemas.openxmlformats.org/officeDocument/2006/relationships/image" Target="../media/image7.png" /><Relationship Id="rId5" Type="http://schemas.openxmlformats.org/officeDocument/2006/relationships/image" Target="../media/image8.png" /><Relationship Id="rId6" Type="http://schemas.openxmlformats.org/officeDocument/2006/relationships/image" Target="../media/image9.png" /><Relationship Id="rId7" Type="http://schemas.openxmlformats.org/officeDocument/2006/relationships/image" Target="../media/image10.png" /><Relationship Id="rId8" Type="http://schemas.openxmlformats.org/officeDocument/2006/relationships/image" Target="../media/image1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561975</xdr:colOff>
      <xdr:row>9</xdr:row>
      <xdr:rowOff>133350</xdr:rowOff>
    </xdr:from>
    <xdr:to>
      <xdr:col>18</xdr:col>
      <xdr:colOff>161925</xdr:colOff>
      <xdr:row>38</xdr:row>
      <xdr:rowOff>171450</xdr:rowOff>
    </xdr:to>
    <xdr:pic>
      <xdr:nvPicPr>
        <xdr:cNvPr id="1" name="Picture 1" descr="C:\My Documents\Fixed Income\Bloomberg screens\Caps 1 SWPM.gif"/>
        <xdr:cNvPicPr preferRelativeResize="1">
          <a:picLocks noChangeAspect="1"/>
        </xdr:cNvPicPr>
      </xdr:nvPicPr>
      <xdr:blipFill>
        <a:blip r:embed="rId1"/>
        <a:stretch>
          <a:fillRect/>
        </a:stretch>
      </xdr:blipFill>
      <xdr:spPr>
        <a:xfrm>
          <a:off x="5543550" y="1590675"/>
          <a:ext cx="7010400" cy="5019675"/>
        </a:xfrm>
        <a:prstGeom prst="rect">
          <a:avLst/>
        </a:prstGeom>
        <a:noFill/>
        <a:ln w="9525" cmpd="sng">
          <a:noFill/>
        </a:ln>
      </xdr:spPr>
    </xdr:pic>
    <xdr:clientData/>
  </xdr:twoCellAnchor>
  <xdr:twoCellAnchor editAs="oneCell">
    <xdr:from>
      <xdr:col>8</xdr:col>
      <xdr:colOff>552450</xdr:colOff>
      <xdr:row>47</xdr:row>
      <xdr:rowOff>95250</xdr:rowOff>
    </xdr:from>
    <xdr:to>
      <xdr:col>20</xdr:col>
      <xdr:colOff>152400</xdr:colOff>
      <xdr:row>78</xdr:row>
      <xdr:rowOff>95250</xdr:rowOff>
    </xdr:to>
    <xdr:pic>
      <xdr:nvPicPr>
        <xdr:cNvPr id="2" name="Picture 2" descr="C:\My Documents\Fixed Income\Bloomberg screens\Caps 2 SWPM.gif"/>
        <xdr:cNvPicPr preferRelativeResize="1">
          <a:picLocks noChangeAspect="1"/>
        </xdr:cNvPicPr>
      </xdr:nvPicPr>
      <xdr:blipFill>
        <a:blip r:embed="rId2"/>
        <a:stretch>
          <a:fillRect/>
        </a:stretch>
      </xdr:blipFill>
      <xdr:spPr>
        <a:xfrm>
          <a:off x="6753225" y="8086725"/>
          <a:ext cx="7010400" cy="5019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171450</xdr:colOff>
      <xdr:row>9</xdr:row>
      <xdr:rowOff>123825</xdr:rowOff>
    </xdr:from>
    <xdr:to>
      <xdr:col>21</xdr:col>
      <xdr:colOff>438150</xdr:colOff>
      <xdr:row>40</xdr:row>
      <xdr:rowOff>123825</xdr:rowOff>
    </xdr:to>
    <xdr:pic>
      <xdr:nvPicPr>
        <xdr:cNvPr id="1" name="Picture 3" descr="C:\My Documents\Fixed Income\Bloomberg screens\Caps 4 SWPM.gif"/>
        <xdr:cNvPicPr preferRelativeResize="1">
          <a:picLocks noChangeAspect="1"/>
        </xdr:cNvPicPr>
      </xdr:nvPicPr>
      <xdr:blipFill>
        <a:blip r:embed="rId1"/>
        <a:stretch>
          <a:fillRect/>
        </a:stretch>
      </xdr:blipFill>
      <xdr:spPr>
        <a:xfrm>
          <a:off x="8382000" y="1581150"/>
          <a:ext cx="7010400" cy="5019675"/>
        </a:xfrm>
        <a:prstGeom prst="rect">
          <a:avLst/>
        </a:prstGeom>
        <a:noFill/>
        <a:ln w="9525" cmpd="sng">
          <a:noFill/>
        </a:ln>
      </xdr:spPr>
    </xdr:pic>
    <xdr:clientData/>
  </xdr:twoCellAnchor>
  <xdr:twoCellAnchor>
    <xdr:from>
      <xdr:col>0</xdr:col>
      <xdr:colOff>57150</xdr:colOff>
      <xdr:row>35</xdr:row>
      <xdr:rowOff>95250</xdr:rowOff>
    </xdr:from>
    <xdr:to>
      <xdr:col>10</xdr:col>
      <xdr:colOff>228600</xdr:colOff>
      <xdr:row>61</xdr:row>
      <xdr:rowOff>19050</xdr:rowOff>
    </xdr:to>
    <xdr:graphicFrame>
      <xdr:nvGraphicFramePr>
        <xdr:cNvPr id="2" name="Chart 4"/>
        <xdr:cNvGraphicFramePr/>
      </xdr:nvGraphicFramePr>
      <xdr:xfrm>
        <a:off x="57150" y="5762625"/>
        <a:ext cx="7772400" cy="4133850"/>
      </xdr:xfrm>
      <a:graphic>
        <a:graphicData uri="http://schemas.openxmlformats.org/drawingml/2006/chart">
          <c:chart xmlns:c="http://schemas.openxmlformats.org/drawingml/2006/chart" r:id="rId2"/>
        </a:graphicData>
      </a:graphic>
    </xdr:graphicFrame>
    <xdr:clientData/>
  </xdr:twoCellAnchor>
  <xdr:twoCellAnchor>
    <xdr:from>
      <xdr:col>0</xdr:col>
      <xdr:colOff>114300</xdr:colOff>
      <xdr:row>63</xdr:row>
      <xdr:rowOff>76200</xdr:rowOff>
    </xdr:from>
    <xdr:to>
      <xdr:col>10</xdr:col>
      <xdr:colOff>285750</xdr:colOff>
      <xdr:row>89</xdr:row>
      <xdr:rowOff>0</xdr:rowOff>
    </xdr:to>
    <xdr:graphicFrame>
      <xdr:nvGraphicFramePr>
        <xdr:cNvPr id="3" name="Chart 5"/>
        <xdr:cNvGraphicFramePr/>
      </xdr:nvGraphicFramePr>
      <xdr:xfrm>
        <a:off x="114300" y="10277475"/>
        <a:ext cx="7772400" cy="4133850"/>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18</xdr:col>
      <xdr:colOff>0</xdr:colOff>
      <xdr:row>42</xdr:row>
      <xdr:rowOff>0</xdr:rowOff>
    </xdr:from>
    <xdr:to>
      <xdr:col>29</xdr:col>
      <xdr:colOff>304800</xdr:colOff>
      <xdr:row>68</xdr:row>
      <xdr:rowOff>66675</xdr:rowOff>
    </xdr:to>
    <xdr:pic>
      <xdr:nvPicPr>
        <xdr:cNvPr id="1" name="Picture 2" descr="C:\My Documents\Fixed Income\Bloomberg screens\swap1 2006.gif"/>
        <xdr:cNvPicPr preferRelativeResize="1">
          <a:picLocks noChangeAspect="1"/>
        </xdr:cNvPicPr>
      </xdr:nvPicPr>
      <xdr:blipFill>
        <a:blip r:embed="rId1"/>
        <a:stretch>
          <a:fillRect/>
        </a:stretch>
      </xdr:blipFill>
      <xdr:spPr>
        <a:xfrm>
          <a:off x="12544425" y="6943725"/>
          <a:ext cx="7010400" cy="5019675"/>
        </a:xfrm>
        <a:prstGeom prst="rect">
          <a:avLst/>
        </a:prstGeom>
        <a:noFill/>
        <a:ln w="9525" cmpd="sng">
          <a:noFill/>
        </a:ln>
      </xdr:spPr>
    </xdr:pic>
    <xdr:clientData/>
  </xdr:twoCellAnchor>
  <xdr:twoCellAnchor editAs="oneCell">
    <xdr:from>
      <xdr:col>2</xdr:col>
      <xdr:colOff>104775</xdr:colOff>
      <xdr:row>74</xdr:row>
      <xdr:rowOff>133350</xdr:rowOff>
    </xdr:from>
    <xdr:to>
      <xdr:col>11</xdr:col>
      <xdr:colOff>238125</xdr:colOff>
      <xdr:row>105</xdr:row>
      <xdr:rowOff>133350</xdr:rowOff>
    </xdr:to>
    <xdr:pic>
      <xdr:nvPicPr>
        <xdr:cNvPr id="2" name="Picture 3" descr="C:\My Documents\Fixed Income\Bloomberg screens\swap2 2006.gif"/>
        <xdr:cNvPicPr preferRelativeResize="1">
          <a:picLocks noChangeAspect="1"/>
        </xdr:cNvPicPr>
      </xdr:nvPicPr>
      <xdr:blipFill>
        <a:blip r:embed="rId2"/>
        <a:stretch>
          <a:fillRect/>
        </a:stretch>
      </xdr:blipFill>
      <xdr:spPr>
        <a:xfrm>
          <a:off x="1504950" y="13144500"/>
          <a:ext cx="7010400" cy="5019675"/>
        </a:xfrm>
        <a:prstGeom prst="rect">
          <a:avLst/>
        </a:prstGeom>
        <a:noFill/>
        <a:ln w="9525" cmpd="sng">
          <a:noFill/>
        </a:ln>
      </xdr:spPr>
    </xdr:pic>
    <xdr:clientData/>
  </xdr:twoCellAnchor>
  <xdr:twoCellAnchor editAs="oneCell">
    <xdr:from>
      <xdr:col>12</xdr:col>
      <xdr:colOff>266700</xdr:colOff>
      <xdr:row>74</xdr:row>
      <xdr:rowOff>66675</xdr:rowOff>
    </xdr:from>
    <xdr:to>
      <xdr:col>26</xdr:col>
      <xdr:colOff>57150</xdr:colOff>
      <xdr:row>111</xdr:row>
      <xdr:rowOff>38100</xdr:rowOff>
    </xdr:to>
    <xdr:pic>
      <xdr:nvPicPr>
        <xdr:cNvPr id="3" name="Picture 4" descr="C:\My Documents\Fixed Income\Bloomberg screens\swap 3 2006.gif"/>
        <xdr:cNvPicPr preferRelativeResize="1">
          <a:picLocks noChangeAspect="1"/>
        </xdr:cNvPicPr>
      </xdr:nvPicPr>
      <xdr:blipFill>
        <a:blip r:embed="rId3"/>
        <a:stretch>
          <a:fillRect/>
        </a:stretch>
      </xdr:blipFill>
      <xdr:spPr>
        <a:xfrm>
          <a:off x="9153525" y="13077825"/>
          <a:ext cx="8324850" cy="5962650"/>
        </a:xfrm>
        <a:prstGeom prst="rect">
          <a:avLst/>
        </a:prstGeom>
        <a:noFill/>
        <a:ln w="9525" cmpd="sng">
          <a:noFill/>
        </a:ln>
      </xdr:spPr>
    </xdr:pic>
    <xdr:clientData/>
  </xdr:twoCellAnchor>
  <xdr:twoCellAnchor editAs="oneCell">
    <xdr:from>
      <xdr:col>2</xdr:col>
      <xdr:colOff>66675</xdr:colOff>
      <xdr:row>111</xdr:row>
      <xdr:rowOff>85725</xdr:rowOff>
    </xdr:from>
    <xdr:to>
      <xdr:col>11</xdr:col>
      <xdr:colOff>200025</xdr:colOff>
      <xdr:row>142</xdr:row>
      <xdr:rowOff>85725</xdr:rowOff>
    </xdr:to>
    <xdr:pic>
      <xdr:nvPicPr>
        <xdr:cNvPr id="4" name="Picture 5" descr="C:\My Documents\Fixed Income\Bloomberg screens\swap 4 2006.gif"/>
        <xdr:cNvPicPr preferRelativeResize="1">
          <a:picLocks noChangeAspect="1"/>
        </xdr:cNvPicPr>
      </xdr:nvPicPr>
      <xdr:blipFill>
        <a:blip r:embed="rId4"/>
        <a:stretch>
          <a:fillRect/>
        </a:stretch>
      </xdr:blipFill>
      <xdr:spPr>
        <a:xfrm>
          <a:off x="1466850" y="19088100"/>
          <a:ext cx="7010400" cy="5019675"/>
        </a:xfrm>
        <a:prstGeom prst="rect">
          <a:avLst/>
        </a:prstGeom>
        <a:noFill/>
        <a:ln w="9525" cmpd="sng">
          <a:noFill/>
        </a:ln>
      </xdr:spPr>
    </xdr:pic>
    <xdr:clientData/>
  </xdr:twoCellAnchor>
  <xdr:twoCellAnchor editAs="oneCell">
    <xdr:from>
      <xdr:col>12</xdr:col>
      <xdr:colOff>342900</xdr:colOff>
      <xdr:row>111</xdr:row>
      <xdr:rowOff>142875</xdr:rowOff>
    </xdr:from>
    <xdr:to>
      <xdr:col>24</xdr:col>
      <xdr:colOff>38100</xdr:colOff>
      <xdr:row>142</xdr:row>
      <xdr:rowOff>142875</xdr:rowOff>
    </xdr:to>
    <xdr:pic>
      <xdr:nvPicPr>
        <xdr:cNvPr id="5" name="Picture 6" descr="C:\My Documents\Fixed Income\Bloomberg screens\swaption flat 2006.gif"/>
        <xdr:cNvPicPr preferRelativeResize="1">
          <a:picLocks noChangeAspect="1"/>
        </xdr:cNvPicPr>
      </xdr:nvPicPr>
      <xdr:blipFill>
        <a:blip r:embed="rId5"/>
        <a:stretch>
          <a:fillRect/>
        </a:stretch>
      </xdr:blipFill>
      <xdr:spPr>
        <a:xfrm>
          <a:off x="9229725" y="19145250"/>
          <a:ext cx="7010400" cy="5019675"/>
        </a:xfrm>
        <a:prstGeom prst="rect">
          <a:avLst/>
        </a:prstGeom>
        <a:noFill/>
        <a:ln w="9525" cmpd="sng">
          <a:noFill/>
        </a:ln>
      </xdr:spPr>
    </xdr:pic>
    <xdr:clientData/>
  </xdr:twoCellAnchor>
  <xdr:twoCellAnchor editAs="oneCell">
    <xdr:from>
      <xdr:col>2</xdr:col>
      <xdr:colOff>76200</xdr:colOff>
      <xdr:row>144</xdr:row>
      <xdr:rowOff>133350</xdr:rowOff>
    </xdr:from>
    <xdr:to>
      <xdr:col>11</xdr:col>
      <xdr:colOff>209550</xdr:colOff>
      <xdr:row>175</xdr:row>
      <xdr:rowOff>133350</xdr:rowOff>
    </xdr:to>
    <xdr:pic>
      <xdr:nvPicPr>
        <xdr:cNvPr id="6" name="Picture 7" descr="C:\My Documents\Fixed Income\Bloomberg screens\swap imp vol2 2006.gif"/>
        <xdr:cNvPicPr preferRelativeResize="1">
          <a:picLocks noChangeAspect="1"/>
        </xdr:cNvPicPr>
      </xdr:nvPicPr>
      <xdr:blipFill>
        <a:blip r:embed="rId6"/>
        <a:stretch>
          <a:fillRect/>
        </a:stretch>
      </xdr:blipFill>
      <xdr:spPr>
        <a:xfrm>
          <a:off x="1476375" y="24479250"/>
          <a:ext cx="7010400" cy="5019675"/>
        </a:xfrm>
        <a:prstGeom prst="rect">
          <a:avLst/>
        </a:prstGeom>
        <a:noFill/>
        <a:ln w="9525" cmpd="sng">
          <a:noFill/>
        </a:ln>
      </xdr:spPr>
    </xdr:pic>
    <xdr:clientData/>
  </xdr:twoCellAnchor>
  <xdr:twoCellAnchor editAs="oneCell">
    <xdr:from>
      <xdr:col>15</xdr:col>
      <xdr:colOff>38100</xdr:colOff>
      <xdr:row>144</xdr:row>
      <xdr:rowOff>19050</xdr:rowOff>
    </xdr:from>
    <xdr:to>
      <xdr:col>26</xdr:col>
      <xdr:colOff>342900</xdr:colOff>
      <xdr:row>175</xdr:row>
      <xdr:rowOff>19050</xdr:rowOff>
    </xdr:to>
    <xdr:pic>
      <xdr:nvPicPr>
        <xdr:cNvPr id="7" name="Picture 8" descr="C:\My Documents\Fixed Income\Bloomberg screens\swap imp vol3.gif"/>
        <xdr:cNvPicPr preferRelativeResize="1">
          <a:picLocks noChangeAspect="1"/>
        </xdr:cNvPicPr>
      </xdr:nvPicPr>
      <xdr:blipFill>
        <a:blip r:embed="rId7"/>
        <a:stretch>
          <a:fillRect/>
        </a:stretch>
      </xdr:blipFill>
      <xdr:spPr>
        <a:xfrm>
          <a:off x="10753725" y="24364950"/>
          <a:ext cx="7010400" cy="5019675"/>
        </a:xfrm>
        <a:prstGeom prst="rect">
          <a:avLst/>
        </a:prstGeom>
        <a:noFill/>
        <a:ln w="9525" cmpd="sng">
          <a:noFill/>
        </a:ln>
      </xdr:spPr>
    </xdr:pic>
    <xdr:clientData/>
  </xdr:twoCellAnchor>
  <xdr:twoCellAnchor editAs="oneCell">
    <xdr:from>
      <xdr:col>2</xdr:col>
      <xdr:colOff>66675</xdr:colOff>
      <xdr:row>179</xdr:row>
      <xdr:rowOff>133350</xdr:rowOff>
    </xdr:from>
    <xdr:to>
      <xdr:col>11</xdr:col>
      <xdr:colOff>200025</xdr:colOff>
      <xdr:row>210</xdr:row>
      <xdr:rowOff>133350</xdr:rowOff>
    </xdr:to>
    <xdr:pic>
      <xdr:nvPicPr>
        <xdr:cNvPr id="8" name="Picture 9" descr="C:\My Documents\Fixed Income\Bloomberg screens\swap imp vol4 2006.gif"/>
        <xdr:cNvPicPr preferRelativeResize="1">
          <a:picLocks noChangeAspect="1"/>
        </xdr:cNvPicPr>
      </xdr:nvPicPr>
      <xdr:blipFill>
        <a:blip r:embed="rId8"/>
        <a:stretch>
          <a:fillRect/>
        </a:stretch>
      </xdr:blipFill>
      <xdr:spPr>
        <a:xfrm>
          <a:off x="1466850" y="30146625"/>
          <a:ext cx="7010400" cy="5019675"/>
        </a:xfrm>
        <a:prstGeom prst="rect">
          <a:avLst/>
        </a:prstGeom>
        <a:noFill/>
        <a:ln w="9525" cmpd="sng">
          <a:noFill/>
        </a:ln>
      </xdr:spPr>
    </xdr:pic>
    <xdr:clientData/>
  </xdr:twoCellAnchor>
  <xdr:twoCellAnchor editAs="oneCell">
    <xdr:from>
      <xdr:col>12</xdr:col>
      <xdr:colOff>476250</xdr:colOff>
      <xdr:row>180</xdr:row>
      <xdr:rowOff>57150</xdr:rowOff>
    </xdr:from>
    <xdr:to>
      <xdr:col>24</xdr:col>
      <xdr:colOff>171450</xdr:colOff>
      <xdr:row>211</xdr:row>
      <xdr:rowOff>57150</xdr:rowOff>
    </xdr:to>
    <xdr:pic>
      <xdr:nvPicPr>
        <xdr:cNvPr id="9" name="Picture 10" descr="C:\My Documents\Fixed Income\Bloomberg screens\swaption flat 2006.gif"/>
        <xdr:cNvPicPr preferRelativeResize="1">
          <a:picLocks noChangeAspect="1"/>
        </xdr:cNvPicPr>
      </xdr:nvPicPr>
      <xdr:blipFill>
        <a:blip r:embed="rId5"/>
        <a:stretch>
          <a:fillRect/>
        </a:stretch>
      </xdr:blipFill>
      <xdr:spPr>
        <a:xfrm>
          <a:off x="9363075" y="30232350"/>
          <a:ext cx="7010400" cy="5019675"/>
        </a:xfrm>
        <a:prstGeom prst="rect">
          <a:avLst/>
        </a:prstGeom>
        <a:noFill/>
        <a:ln w="9525" cmpd="sng">
          <a:noFill/>
        </a:ln>
      </xdr:spPr>
    </xdr:pic>
    <xdr:clientData/>
  </xdr:twoCellAnchor>
  <xdr:twoCellAnchor>
    <xdr:from>
      <xdr:col>5</xdr:col>
      <xdr:colOff>47625</xdr:colOff>
      <xdr:row>48</xdr:row>
      <xdr:rowOff>19050</xdr:rowOff>
    </xdr:from>
    <xdr:to>
      <xdr:col>5</xdr:col>
      <xdr:colOff>180975</xdr:colOff>
      <xdr:row>53</xdr:row>
      <xdr:rowOff>171450</xdr:rowOff>
    </xdr:to>
    <xdr:sp>
      <xdr:nvSpPr>
        <xdr:cNvPr id="10" name="AutoShape 11"/>
        <xdr:cNvSpPr>
          <a:spLocks/>
        </xdr:cNvSpPr>
      </xdr:nvSpPr>
      <xdr:spPr>
        <a:xfrm>
          <a:off x="3810000" y="8105775"/>
          <a:ext cx="133350" cy="11049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codeName="Sheet1"/>
  <dimension ref="A1:T102"/>
  <sheetViews>
    <sheetView tabSelected="1" zoomScale="155" zoomScaleNormal="155" zoomScalePageLayoutView="0" workbookViewId="0" topLeftCell="A1">
      <selection activeCell="L8" sqref="L8"/>
    </sheetView>
  </sheetViews>
  <sheetFormatPr defaultColWidth="9.140625" defaultRowHeight="12.75"/>
  <cols>
    <col min="1" max="1" width="10.8515625" style="0" bestFit="1" customWidth="1"/>
    <col min="2" max="2" width="18.421875" style="0" customWidth="1"/>
    <col min="4" max="4" width="10.140625" style="0" bestFit="1" customWidth="1"/>
    <col min="5" max="5" width="13.421875" style="0" bestFit="1" customWidth="1"/>
    <col min="6" max="6" width="12.7109375" style="0" customWidth="1"/>
    <col min="12" max="12" width="10.57421875" style="0" customWidth="1"/>
  </cols>
  <sheetData>
    <row r="1" ht="12.75">
      <c r="A1" t="s">
        <v>1</v>
      </c>
    </row>
    <row r="3" ht="12.75">
      <c r="A3" t="s">
        <v>2</v>
      </c>
    </row>
    <row r="4" ht="12.75">
      <c r="B4" t="s">
        <v>3</v>
      </c>
    </row>
    <row r="5" ht="12.75">
      <c r="L5" s="4"/>
    </row>
    <row r="6" ht="12.75">
      <c r="L6" s="4"/>
    </row>
    <row r="7" ht="12.75">
      <c r="A7" t="s">
        <v>4</v>
      </c>
    </row>
    <row r="8" ht="12.75">
      <c r="A8" t="s">
        <v>5</v>
      </c>
    </row>
    <row r="9" ht="12.75">
      <c r="B9" t="s">
        <v>6</v>
      </c>
    </row>
    <row r="11" ht="12.75">
      <c r="A11" t="s">
        <v>0</v>
      </c>
    </row>
    <row r="12" ht="12.75">
      <c r="B12" t="s">
        <v>7</v>
      </c>
    </row>
    <row r="13" ht="12.75">
      <c r="B13" t="s">
        <v>8</v>
      </c>
    </row>
    <row r="14" ht="12.75">
      <c r="B14" t="s">
        <v>9</v>
      </c>
    </row>
    <row r="15" ht="12.75">
      <c r="B15" t="s">
        <v>10</v>
      </c>
    </row>
    <row r="16" ht="12.75">
      <c r="B16" t="s">
        <v>11</v>
      </c>
    </row>
    <row r="17" ht="12.75">
      <c r="B17" t="s">
        <v>12</v>
      </c>
    </row>
    <row r="19" ht="12.75">
      <c r="B19" t="s">
        <v>13</v>
      </c>
    </row>
    <row r="22" ht="12.75">
      <c r="A22" t="s">
        <v>14</v>
      </c>
    </row>
    <row r="23" spans="1:3" ht="12.75">
      <c r="A23" t="s">
        <v>15</v>
      </c>
      <c r="B23" t="s">
        <v>19</v>
      </c>
      <c r="C23" t="s">
        <v>16</v>
      </c>
    </row>
    <row r="24" spans="1:3" ht="14.25">
      <c r="A24" s="4">
        <v>38792</v>
      </c>
      <c r="B24" t="s">
        <v>17</v>
      </c>
      <c r="C24" s="1" t="s">
        <v>18</v>
      </c>
    </row>
    <row r="25" spans="1:3" ht="14.25">
      <c r="A25" s="4">
        <v>38884</v>
      </c>
      <c r="B25" t="s">
        <v>17</v>
      </c>
      <c r="C25" s="1" t="s">
        <v>20</v>
      </c>
    </row>
    <row r="26" spans="1:3" ht="14.25">
      <c r="A26" s="4">
        <v>38976</v>
      </c>
      <c r="B26" t="s">
        <v>17</v>
      </c>
      <c r="C26" s="1" t="s">
        <v>20</v>
      </c>
    </row>
    <row r="27" spans="1:3" ht="14.25">
      <c r="A27" s="4">
        <v>39067</v>
      </c>
      <c r="B27" t="s">
        <v>17</v>
      </c>
      <c r="C27" s="1" t="s">
        <v>20</v>
      </c>
    </row>
    <row r="28" spans="1:3" ht="14.25">
      <c r="A28" s="4">
        <v>39157</v>
      </c>
      <c r="B28" t="s">
        <v>17</v>
      </c>
      <c r="C28" s="1" t="s">
        <v>20</v>
      </c>
    </row>
    <row r="29" spans="1:3" ht="14.25">
      <c r="A29" s="4">
        <v>39249</v>
      </c>
      <c r="B29" t="s">
        <v>17</v>
      </c>
      <c r="C29" s="1" t="s">
        <v>20</v>
      </c>
    </row>
    <row r="30" spans="1:3" ht="14.25">
      <c r="A30" s="4">
        <v>39341</v>
      </c>
      <c r="B30" t="s">
        <v>17</v>
      </c>
      <c r="C30" s="1" t="s">
        <v>20</v>
      </c>
    </row>
    <row r="31" spans="1:3" ht="14.25">
      <c r="A31" s="4">
        <v>39432</v>
      </c>
      <c r="B31" t="s">
        <v>17</v>
      </c>
      <c r="C31" s="1" t="s">
        <v>20</v>
      </c>
    </row>
    <row r="32" spans="1:3" ht="14.25">
      <c r="A32" s="4">
        <v>39523</v>
      </c>
      <c r="B32" t="s">
        <v>17</v>
      </c>
      <c r="C32" s="1" t="s">
        <v>20</v>
      </c>
    </row>
    <row r="33" spans="1:3" ht="14.25">
      <c r="A33" s="4">
        <v>39615</v>
      </c>
      <c r="B33" t="s">
        <v>17</v>
      </c>
      <c r="C33" s="1" t="s">
        <v>20</v>
      </c>
    </row>
    <row r="34" spans="1:3" ht="14.25">
      <c r="A34" s="4">
        <v>39707</v>
      </c>
      <c r="B34" t="s">
        <v>17</v>
      </c>
      <c r="C34" s="1" t="s">
        <v>20</v>
      </c>
    </row>
    <row r="35" spans="1:3" ht="14.25">
      <c r="A35" s="4">
        <v>39798</v>
      </c>
      <c r="B35" t="s">
        <v>17</v>
      </c>
      <c r="C35" s="1" t="s">
        <v>20</v>
      </c>
    </row>
    <row r="36" spans="1:3" ht="14.25">
      <c r="A36" s="4">
        <v>39888</v>
      </c>
      <c r="B36" t="s">
        <v>17</v>
      </c>
      <c r="C36" s="1" t="s">
        <v>20</v>
      </c>
    </row>
    <row r="37" spans="1:3" ht="14.25">
      <c r="A37" s="4">
        <v>39980</v>
      </c>
      <c r="B37" t="s">
        <v>17</v>
      </c>
      <c r="C37" s="1" t="s">
        <v>20</v>
      </c>
    </row>
    <row r="38" spans="1:3" ht="14.25">
      <c r="A38" s="4">
        <v>40072</v>
      </c>
      <c r="B38" t="s">
        <v>17</v>
      </c>
      <c r="C38" s="1" t="s">
        <v>20</v>
      </c>
    </row>
    <row r="39" spans="1:3" ht="14.25">
      <c r="A39" s="4">
        <v>40163</v>
      </c>
      <c r="B39" t="s">
        <v>17</v>
      </c>
      <c r="C39" s="1" t="s">
        <v>20</v>
      </c>
    </row>
    <row r="40" spans="1:3" ht="14.25">
      <c r="A40" s="4">
        <v>40253</v>
      </c>
      <c r="B40" t="s">
        <v>17</v>
      </c>
      <c r="C40" s="1" t="s">
        <v>20</v>
      </c>
    </row>
    <row r="41" spans="1:3" ht="14.25">
      <c r="A41" s="4">
        <v>40345</v>
      </c>
      <c r="B41" t="s">
        <v>17</v>
      </c>
      <c r="C41" s="1" t="s">
        <v>20</v>
      </c>
    </row>
    <row r="42" spans="1:3" ht="14.25">
      <c r="A42" s="4">
        <v>40437</v>
      </c>
      <c r="B42" t="s">
        <v>17</v>
      </c>
      <c r="C42" s="1" t="s">
        <v>20</v>
      </c>
    </row>
    <row r="43" spans="1:3" ht="14.25">
      <c r="A43" s="4">
        <v>40528</v>
      </c>
      <c r="B43" t="s">
        <v>17</v>
      </c>
      <c r="C43" s="1" t="s">
        <v>20</v>
      </c>
    </row>
    <row r="44" ht="12.75">
      <c r="C44" s="1"/>
    </row>
    <row r="45" ht="12.75">
      <c r="A45" t="s">
        <v>21</v>
      </c>
    </row>
    <row r="46" ht="12.75">
      <c r="B46" t="s">
        <v>22</v>
      </c>
    </row>
    <row r="48" ht="12.75">
      <c r="A48" t="s">
        <v>23</v>
      </c>
    </row>
    <row r="50" ht="12.75">
      <c r="A50" t="s">
        <v>24</v>
      </c>
    </row>
    <row r="51" ht="12.75">
      <c r="A51" t="s">
        <v>27</v>
      </c>
    </row>
    <row r="52" spans="5:6" ht="12.75">
      <c r="E52" t="s">
        <v>25</v>
      </c>
      <c r="F52" s="4">
        <v>38976</v>
      </c>
    </row>
    <row r="53" spans="5:6" ht="12.75">
      <c r="E53" t="s">
        <v>26</v>
      </c>
      <c r="F53" s="4">
        <v>39067</v>
      </c>
    </row>
    <row r="54" spans="5:6" ht="12.75">
      <c r="E54" t="s">
        <v>28</v>
      </c>
      <c r="F54">
        <v>10000000</v>
      </c>
    </row>
    <row r="55" spans="5:6" ht="12.75">
      <c r="E55" t="s">
        <v>29</v>
      </c>
      <c r="F55">
        <v>0.0478821</v>
      </c>
    </row>
    <row r="56" spans="5:6" ht="12.75">
      <c r="E56" t="s">
        <v>30</v>
      </c>
      <c r="F56" s="5">
        <f>VALUE(F53)-VALUE(F52)</f>
        <v>91</v>
      </c>
    </row>
    <row r="57" spans="5:6" ht="12.75">
      <c r="E57" t="s">
        <v>31</v>
      </c>
      <c r="F57">
        <f>F56/360</f>
        <v>0.25277777777777777</v>
      </c>
    </row>
    <row r="58" spans="5:6" ht="12.75">
      <c r="E58" t="s">
        <v>33</v>
      </c>
      <c r="F58">
        <v>0.052</v>
      </c>
    </row>
    <row r="59" spans="5:6" ht="12.75">
      <c r="E59" t="s">
        <v>32</v>
      </c>
      <c r="F59" s="6">
        <f>MAX((F58-F55),0)*F57*F54</f>
        <v>10409.136111111113</v>
      </c>
    </row>
    <row r="62" ht="12.75">
      <c r="A62" t="s">
        <v>34</v>
      </c>
    </row>
    <row r="63" ht="12.75">
      <c r="A63" t="s">
        <v>35</v>
      </c>
    </row>
    <row r="64" ht="12.75">
      <c r="A64" t="s">
        <v>36</v>
      </c>
    </row>
    <row r="66" spans="1:3" ht="12.75">
      <c r="A66" t="s">
        <v>37</v>
      </c>
      <c r="B66">
        <v>0.00483</v>
      </c>
      <c r="C66">
        <v>4</v>
      </c>
    </row>
    <row r="67" spans="2:3" ht="12.75">
      <c r="B67">
        <f>1/(1+B66/C66)^C66</f>
        <v>0.9951845454247055</v>
      </c>
      <c r="C67" t="s">
        <v>38</v>
      </c>
    </row>
    <row r="68" ht="12.75">
      <c r="C68" t="s">
        <v>39</v>
      </c>
    </row>
    <row r="69" ht="12.75">
      <c r="A69" t="s">
        <v>40</v>
      </c>
    </row>
    <row r="70" ht="12.75">
      <c r="A70" t="s">
        <v>41</v>
      </c>
    </row>
    <row r="82" spans="1:20" ht="15">
      <c r="A82" s="11" t="s">
        <v>202</v>
      </c>
      <c r="B82" s="11"/>
      <c r="C82" s="11"/>
      <c r="D82" s="11"/>
      <c r="E82" s="11"/>
      <c r="F82" s="11"/>
      <c r="G82" s="11"/>
      <c r="H82" s="11"/>
      <c r="I82" s="11"/>
      <c r="J82" s="11"/>
      <c r="K82" s="11"/>
      <c r="L82" s="11"/>
      <c r="M82" s="11"/>
      <c r="N82" s="11"/>
      <c r="O82" s="11"/>
      <c r="P82" s="11"/>
      <c r="Q82" s="11"/>
      <c r="R82" s="11"/>
      <c r="S82" s="11"/>
      <c r="T82" s="11"/>
    </row>
    <row r="83" spans="1:20" ht="15">
      <c r="A83" s="11"/>
      <c r="B83" t="s">
        <v>203</v>
      </c>
      <c r="T83" s="11"/>
    </row>
    <row r="84" spans="1:20" ht="15">
      <c r="A84" s="11"/>
      <c r="C84" t="s">
        <v>204</v>
      </c>
      <c r="T84" s="11"/>
    </row>
    <row r="85" spans="1:20" ht="15">
      <c r="A85" s="11"/>
      <c r="C85" t="s">
        <v>205</v>
      </c>
      <c r="T85" s="11"/>
    </row>
    <row r="86" spans="1:20" ht="15">
      <c r="A86" s="11"/>
      <c r="C86" t="s">
        <v>208</v>
      </c>
      <c r="T86" s="11"/>
    </row>
    <row r="87" spans="1:20" ht="15">
      <c r="A87" s="11"/>
      <c r="C87" t="s">
        <v>209</v>
      </c>
      <c r="T87" s="11"/>
    </row>
    <row r="88" spans="1:20" ht="15">
      <c r="A88" s="11"/>
      <c r="T88" s="11"/>
    </row>
    <row r="89" spans="1:20" ht="15">
      <c r="A89" s="11"/>
      <c r="C89" t="s">
        <v>206</v>
      </c>
      <c r="E89" t="s">
        <v>207</v>
      </c>
      <c r="T89" s="11"/>
    </row>
    <row r="90" spans="1:20" ht="15">
      <c r="A90" s="11"/>
      <c r="T90" s="11"/>
    </row>
    <row r="91" spans="1:20" ht="15">
      <c r="A91" s="11"/>
      <c r="C91" t="s">
        <v>210</v>
      </c>
      <c r="T91" s="11"/>
    </row>
    <row r="92" spans="1:20" ht="15">
      <c r="A92" s="11"/>
      <c r="T92" s="11"/>
    </row>
    <row r="93" spans="1:20" ht="15">
      <c r="A93" s="11"/>
      <c r="B93" t="s">
        <v>211</v>
      </c>
      <c r="F93" s="4">
        <v>38700</v>
      </c>
      <c r="T93" s="11"/>
    </row>
    <row r="94" spans="1:20" ht="15">
      <c r="A94" s="11"/>
      <c r="C94" t="s">
        <v>212</v>
      </c>
      <c r="D94">
        <v>0.0477</v>
      </c>
      <c r="T94" s="11"/>
    </row>
    <row r="95" spans="1:20" ht="15">
      <c r="A95" s="11"/>
      <c r="C95" t="s">
        <v>213</v>
      </c>
      <c r="D95">
        <v>0.0483</v>
      </c>
      <c r="T95" s="11"/>
    </row>
    <row r="96" spans="1:20" ht="15">
      <c r="A96" s="11"/>
      <c r="C96" t="s">
        <v>147</v>
      </c>
      <c r="D96">
        <f>VALUE(F96)-VALUE(F93)</f>
        <v>274</v>
      </c>
      <c r="F96" s="4">
        <v>38974</v>
      </c>
      <c r="T96" s="11"/>
    </row>
    <row r="97" spans="1:20" ht="15">
      <c r="A97" s="11"/>
      <c r="C97" t="s">
        <v>150</v>
      </c>
      <c r="D97">
        <f>VALUE(F97)-VALUE(F93)</f>
        <v>365</v>
      </c>
      <c r="F97" s="4">
        <v>39065</v>
      </c>
      <c r="T97" s="11"/>
    </row>
    <row r="98" spans="1:20" ht="15">
      <c r="A98" s="11"/>
      <c r="C98" t="s">
        <v>214</v>
      </c>
      <c r="D98">
        <f>(1+F98)/(1+G98)</f>
        <v>1.0122221096427533</v>
      </c>
      <c r="F98">
        <f>D95*D97/360</f>
        <v>0.04897083333333333</v>
      </c>
      <c r="G98">
        <f>D94*D96/360</f>
        <v>0.036305</v>
      </c>
      <c r="T98" s="11"/>
    </row>
    <row r="99" spans="1:20" ht="15">
      <c r="A99" s="11"/>
      <c r="C99" t="s">
        <v>215</v>
      </c>
      <c r="D99">
        <f>((D98-1)/(D97-D96))*360</f>
        <v>0.04835120298232066</v>
      </c>
      <c r="E99" t="s">
        <v>216</v>
      </c>
      <c r="T99" s="11"/>
    </row>
    <row r="100" spans="1:20" ht="15">
      <c r="A100" s="11"/>
      <c r="T100" s="11"/>
    </row>
    <row r="101" spans="1:20" ht="15">
      <c r="A101" s="11"/>
      <c r="T101" s="11"/>
    </row>
    <row r="102" spans="1:20" ht="15">
      <c r="A102" s="11"/>
      <c r="B102" s="11"/>
      <c r="C102" s="11"/>
      <c r="D102" s="11"/>
      <c r="E102" s="11"/>
      <c r="F102" s="11"/>
      <c r="G102" s="11"/>
      <c r="H102" s="11"/>
      <c r="I102" s="11"/>
      <c r="J102" s="11"/>
      <c r="K102" s="11"/>
      <c r="L102" s="11"/>
      <c r="M102" s="11"/>
      <c r="N102" s="11"/>
      <c r="O102" s="11"/>
      <c r="P102" s="11"/>
      <c r="Q102" s="11"/>
      <c r="R102" s="11"/>
      <c r="S102" s="11"/>
      <c r="T102" s="11"/>
    </row>
  </sheetData>
  <sheetProtection/>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Sheet4"/>
  <dimension ref="A1:AJ184"/>
  <sheetViews>
    <sheetView zoomScale="155" zoomScaleNormal="155" zoomScalePageLayoutView="0" workbookViewId="0" topLeftCell="A10">
      <selection activeCell="Y1" sqref="Y1"/>
    </sheetView>
  </sheetViews>
  <sheetFormatPr defaultColWidth="9.140625" defaultRowHeight="12.75"/>
  <cols>
    <col min="2" max="2" width="10.140625" style="0" bestFit="1" customWidth="1"/>
    <col min="3" max="3" width="12.7109375" style="0" bestFit="1" customWidth="1"/>
    <col min="4" max="4" width="12.28125" style="0" customWidth="1"/>
    <col min="5" max="5" width="12.7109375" style="0" bestFit="1" customWidth="1"/>
    <col min="6" max="6" width="17.140625" style="0" customWidth="1"/>
    <col min="9" max="9" width="12.421875" style="0" bestFit="1" customWidth="1"/>
    <col min="17" max="17" width="12.421875" style="0" bestFit="1" customWidth="1"/>
    <col min="18" max="18" width="10.8515625" style="0" customWidth="1"/>
    <col min="19" max="19" width="11.00390625" style="0" customWidth="1"/>
    <col min="20" max="20" width="11.57421875" style="0" customWidth="1"/>
    <col min="21" max="21" width="9.57421875" style="0" bestFit="1" customWidth="1"/>
  </cols>
  <sheetData>
    <row r="1" ht="12.75">
      <c r="A1" s="12" t="s">
        <v>230</v>
      </c>
    </row>
    <row r="2" ht="12.75">
      <c r="A2" s="13" t="s">
        <v>231</v>
      </c>
    </row>
    <row r="3" spans="20:22" ht="12.75">
      <c r="T3" s="4">
        <v>38700</v>
      </c>
      <c r="V3">
        <v>360</v>
      </c>
    </row>
    <row r="4" spans="1:23" ht="12.75">
      <c r="A4" s="12" t="s">
        <v>232</v>
      </c>
      <c r="O4" t="s">
        <v>197</v>
      </c>
      <c r="R4" t="s">
        <v>198</v>
      </c>
      <c r="S4">
        <v>0.0449125</v>
      </c>
      <c r="T4" s="4">
        <v>38790</v>
      </c>
      <c r="U4">
        <f>VALUE(T4)-VALUE(T3)</f>
        <v>90</v>
      </c>
      <c r="V4">
        <f>U4/360</f>
        <v>0.25</v>
      </c>
      <c r="W4">
        <f>1+(S4*U4)/V3</f>
        <v>1.011228125</v>
      </c>
    </row>
    <row r="5" spans="1:23" ht="12.75">
      <c r="A5" s="12" t="s">
        <v>233</v>
      </c>
      <c r="R5" t="s">
        <v>199</v>
      </c>
      <c r="S5">
        <v>0.046625</v>
      </c>
      <c r="T5" s="4">
        <v>38882</v>
      </c>
      <c r="U5">
        <f>VALUE(T5)-VALUE(T3)</f>
        <v>182</v>
      </c>
      <c r="V5">
        <f>U5/360</f>
        <v>0.5055555555555555</v>
      </c>
      <c r="W5">
        <f>1+(S5*U5)/V3</f>
        <v>1.0235715277777777</v>
      </c>
    </row>
    <row r="6" ht="12.75">
      <c r="A6" s="12" t="s">
        <v>234</v>
      </c>
    </row>
    <row r="7" ht="12.75">
      <c r="A7" s="12" t="s">
        <v>235</v>
      </c>
    </row>
    <row r="8" spans="16:19" ht="12.75">
      <c r="P8" t="s">
        <v>201</v>
      </c>
      <c r="Q8">
        <f>W5/W4</f>
        <v>1.0122063483724584</v>
      </c>
      <c r="S8" t="s">
        <v>200</v>
      </c>
    </row>
    <row r="9" spans="1:17" ht="12.75">
      <c r="A9" s="12" t="s">
        <v>236</v>
      </c>
      <c r="Q9">
        <f>(Q8-1)*4</f>
        <v>0.0488253934898335</v>
      </c>
    </row>
    <row r="20" ht="12.75">
      <c r="A20" t="s">
        <v>43</v>
      </c>
    </row>
    <row r="21" spans="1:26" ht="12.75">
      <c r="A21" t="s">
        <v>42</v>
      </c>
      <c r="D21" t="s">
        <v>44</v>
      </c>
      <c r="Z21" t="s">
        <v>55</v>
      </c>
    </row>
    <row r="22" spans="1:36" ht="12.75">
      <c r="A22" t="s">
        <v>53</v>
      </c>
      <c r="Z22" t="s">
        <v>56</v>
      </c>
      <c r="AA22" t="s">
        <v>57</v>
      </c>
      <c r="AB22" t="s">
        <v>58</v>
      </c>
      <c r="AD22" t="s">
        <v>227</v>
      </c>
      <c r="AI22" t="s">
        <v>229</v>
      </c>
      <c r="AJ22" t="s">
        <v>58</v>
      </c>
    </row>
    <row r="23" spans="1:36" ht="12.75">
      <c r="A23" t="s">
        <v>54</v>
      </c>
      <c r="Z23">
        <v>0.001</v>
      </c>
      <c r="AA23">
        <f>LOGNORMDIST(Z23,$D$28,$D$30)</f>
        <v>0</v>
      </c>
      <c r="AD23" t="s">
        <v>228</v>
      </c>
      <c r="AI23">
        <f>NORMDIST(LN(Z23),$D$28,$D$30,TRUE)</f>
        <v>0</v>
      </c>
      <c r="AJ23">
        <f>NORMDIST(LN(Z23),$D$28,$D$30,FALSE)</f>
        <v>0</v>
      </c>
    </row>
    <row r="24" spans="1:36" ht="12.75">
      <c r="A24" t="s">
        <v>45</v>
      </c>
      <c r="D24">
        <v>0.0483516</v>
      </c>
      <c r="Z24">
        <v>0.002</v>
      </c>
      <c r="AA24">
        <f aca="true" t="shared" si="0" ref="AA24:AA87">LOGNORMDIST(Z24,$D$28,$D$30)</f>
        <v>6.565491285991728E-213</v>
      </c>
      <c r="AB24">
        <f>AA24-AA23</f>
        <v>6.565491285991728E-213</v>
      </c>
      <c r="AI24">
        <f aca="true" t="shared" si="1" ref="AI24:AI87">NORMDIST(LN(Z24),$D$28,$D$30,TRUE)</f>
        <v>6.565491285991728E-213</v>
      </c>
      <c r="AJ24">
        <f aca="true" t="shared" si="2" ref="AJ24:AJ87">NORMDIST(LN(Z24),$D$28,$D$30,FALSE)</f>
        <v>2.001401474704938E-210</v>
      </c>
    </row>
    <row r="25" spans="1:36" ht="12.75">
      <c r="A25" t="s">
        <v>46</v>
      </c>
      <c r="D25">
        <v>0.118</v>
      </c>
      <c r="F25" t="s">
        <v>47</v>
      </c>
      <c r="G25">
        <f>D25^2*D26</f>
        <v>0.010443</v>
      </c>
      <c r="Z25">
        <v>0.003</v>
      </c>
      <c r="AA25">
        <f t="shared" si="0"/>
        <v>1.2068278350443258E-162</v>
      </c>
      <c r="AB25">
        <f aca="true" t="shared" si="3" ref="AB25:AB88">AA25-AA24</f>
        <v>1.2068278350443258E-162</v>
      </c>
      <c r="AI25">
        <f t="shared" si="1"/>
        <v>1.2068278350443258E-162</v>
      </c>
      <c r="AJ25">
        <f t="shared" si="2"/>
        <v>3.210833556182568E-160</v>
      </c>
    </row>
    <row r="26" spans="1:36" ht="12.75">
      <c r="A26" t="s">
        <v>48</v>
      </c>
      <c r="D26">
        <v>0.75</v>
      </c>
      <c r="E26" t="s">
        <v>52</v>
      </c>
      <c r="Z26">
        <v>0.004</v>
      </c>
      <c r="AA26">
        <f t="shared" si="0"/>
        <v>4.0169162702155575E-131</v>
      </c>
      <c r="AB26">
        <f t="shared" si="3"/>
        <v>4.0169162702155575E-131</v>
      </c>
      <c r="AI26">
        <f t="shared" si="1"/>
        <v>4.0169162702155575E-131</v>
      </c>
      <c r="AJ26">
        <f t="shared" si="2"/>
        <v>9.582318389626412E-129</v>
      </c>
    </row>
    <row r="27" spans="26:36" ht="12.75">
      <c r="Z27">
        <v>0.005</v>
      </c>
      <c r="AA27">
        <f t="shared" si="0"/>
        <v>4.877041308296946E-109</v>
      </c>
      <c r="AB27">
        <f t="shared" si="3"/>
        <v>4.877041308296946E-109</v>
      </c>
      <c r="AI27">
        <f t="shared" si="1"/>
        <v>4.877041308296946E-109</v>
      </c>
      <c r="AJ27">
        <f t="shared" si="2"/>
        <v>1.0593936165381515E-106</v>
      </c>
    </row>
    <row r="28" spans="1:36" ht="12.75">
      <c r="A28" t="s">
        <v>49</v>
      </c>
      <c r="D28">
        <f>LN(D24)-0.5*G25</f>
        <v>-3.0344774655931346</v>
      </c>
      <c r="H28" t="s">
        <v>68</v>
      </c>
      <c r="I28" s="4">
        <v>38702</v>
      </c>
      <c r="J28">
        <f>VALUE(I28)</f>
        <v>38702</v>
      </c>
      <c r="Z28">
        <v>0.006</v>
      </c>
      <c r="AA28">
        <f t="shared" si="0"/>
        <v>1.578405033464365E-92</v>
      </c>
      <c r="AB28">
        <f t="shared" si="3"/>
        <v>1.578405033464365E-92</v>
      </c>
      <c r="AI28">
        <f t="shared" si="1"/>
        <v>1.578405033464365E-92</v>
      </c>
      <c r="AJ28">
        <f t="shared" si="2"/>
        <v>3.1536533425287997E-90</v>
      </c>
    </row>
    <row r="29" spans="1:36" ht="12.75">
      <c r="A29" t="s">
        <v>50</v>
      </c>
      <c r="D29">
        <f>G25</f>
        <v>0.010443</v>
      </c>
      <c r="H29" t="s">
        <v>66</v>
      </c>
      <c r="I29" s="4">
        <v>38974</v>
      </c>
      <c r="J29">
        <f>VALUE(I29)</f>
        <v>38974</v>
      </c>
      <c r="Z29">
        <v>0.007</v>
      </c>
      <c r="AA29">
        <f t="shared" si="0"/>
        <v>1.205913373055626E-79</v>
      </c>
      <c r="AB29">
        <f t="shared" si="3"/>
        <v>1.2059133730554681E-79</v>
      </c>
      <c r="AI29">
        <f t="shared" si="1"/>
        <v>1.205913373055626E-79</v>
      </c>
      <c r="AJ29">
        <f t="shared" si="2"/>
        <v>2.2318645747864622E-77</v>
      </c>
    </row>
    <row r="30" spans="1:36" ht="12.75">
      <c r="A30" t="s">
        <v>51</v>
      </c>
      <c r="D30">
        <f>SQRT(D29)</f>
        <v>0.10219099764656375</v>
      </c>
      <c r="H30" t="s">
        <v>67</v>
      </c>
      <c r="I30" s="4">
        <v>39069</v>
      </c>
      <c r="J30">
        <f>VALUE(I30)</f>
        <v>39069</v>
      </c>
      <c r="Z30">
        <v>0.008</v>
      </c>
      <c r="AA30">
        <f t="shared" si="0"/>
        <v>2.783463291616699E-69</v>
      </c>
      <c r="AB30">
        <f t="shared" si="3"/>
        <v>2.7834632914961076E-69</v>
      </c>
      <c r="AI30">
        <f t="shared" si="1"/>
        <v>2.783463291616699E-69</v>
      </c>
      <c r="AJ30">
        <f t="shared" si="2"/>
        <v>4.796684973965685E-67</v>
      </c>
    </row>
    <row r="31" spans="1:36" ht="12.75">
      <c r="A31" t="s">
        <v>167</v>
      </c>
      <c r="D31">
        <v>10000000</v>
      </c>
      <c r="H31" t="s">
        <v>102</v>
      </c>
      <c r="I31" s="4">
        <v>39065</v>
      </c>
      <c r="J31">
        <f>VALUE(I31)</f>
        <v>39065</v>
      </c>
      <c r="Z31">
        <v>0.009</v>
      </c>
      <c r="AA31">
        <f t="shared" si="0"/>
        <v>9.377526263234172E-61</v>
      </c>
      <c r="AB31">
        <f t="shared" si="3"/>
        <v>9.37752623539954E-61</v>
      </c>
      <c r="AI31">
        <f t="shared" si="1"/>
        <v>9.377526263234172E-61</v>
      </c>
      <c r="AJ31">
        <f t="shared" si="2"/>
        <v>1.5106037845015184E-58</v>
      </c>
    </row>
    <row r="32" spans="1:36" ht="12.75">
      <c r="A32" t="s">
        <v>59</v>
      </c>
      <c r="Z32">
        <v>0.01</v>
      </c>
      <c r="AA32">
        <f t="shared" si="0"/>
        <v>1.2974930585170873E-53</v>
      </c>
      <c r="AB32">
        <f t="shared" si="3"/>
        <v>1.2974929647418246E-53</v>
      </c>
      <c r="AI32">
        <f t="shared" si="1"/>
        <v>1.2974930585170873E-53</v>
      </c>
      <c r="AJ32">
        <f t="shared" si="2"/>
        <v>1.9597031100248732E-51</v>
      </c>
    </row>
    <row r="33" spans="10:36" ht="12.75">
      <c r="J33">
        <f>BloombergCap(D24,C99,F99,D25,(J29-J28)/360,(J31-J29)/360,D31)</f>
        <v>5328.249443837514</v>
      </c>
      <c r="Z33">
        <v>0.011</v>
      </c>
      <c r="AA33">
        <f t="shared" si="0"/>
        <v>1.5027334098942211E-47</v>
      </c>
      <c r="AB33">
        <f t="shared" si="3"/>
        <v>1.5027321124011627E-47</v>
      </c>
      <c r="AI33">
        <f t="shared" si="1"/>
        <v>1.5027334098942211E-47</v>
      </c>
      <c r="AJ33">
        <f t="shared" si="2"/>
        <v>2.133145204153757E-45</v>
      </c>
    </row>
    <row r="34" spans="26:36" ht="12.75">
      <c r="Z34">
        <v>0.012</v>
      </c>
      <c r="AA34">
        <f t="shared" si="0"/>
        <v>2.422937429899379E-42</v>
      </c>
      <c r="AB34">
        <f t="shared" si="3"/>
        <v>2.42292240256528E-42</v>
      </c>
      <c r="AI34">
        <f t="shared" si="1"/>
        <v>2.422937429899379E-42</v>
      </c>
      <c r="AJ34">
        <f t="shared" si="2"/>
        <v>3.2385032030895853E-40</v>
      </c>
    </row>
    <row r="35" spans="26:36" ht="12.75">
      <c r="Z35">
        <v>0.013</v>
      </c>
      <c r="AA35">
        <f t="shared" si="0"/>
        <v>7.909664280206589E-38</v>
      </c>
      <c r="AB35">
        <f t="shared" si="3"/>
        <v>7.909421986463599E-38</v>
      </c>
      <c r="AI35">
        <f t="shared" si="1"/>
        <v>7.909664280206589E-38</v>
      </c>
      <c r="AJ35">
        <f t="shared" si="2"/>
        <v>9.969190338541631E-36</v>
      </c>
    </row>
    <row r="36" spans="26:36" ht="12.75">
      <c r="Z36">
        <v>0.014</v>
      </c>
      <c r="AA36">
        <f t="shared" si="0"/>
        <v>6.9367201352173086E-34</v>
      </c>
      <c r="AB36">
        <f t="shared" si="3"/>
        <v>6.935929168789288E-34</v>
      </c>
      <c r="AI36">
        <f t="shared" si="1"/>
        <v>6.9367201352173086E-34</v>
      </c>
      <c r="AJ36">
        <f t="shared" si="2"/>
        <v>8.25371699952227E-32</v>
      </c>
    </row>
    <row r="37" spans="26:36" ht="12.75">
      <c r="Z37">
        <v>0.015</v>
      </c>
      <c r="AA37">
        <f t="shared" si="0"/>
        <v>2.0326059625314943E-30</v>
      </c>
      <c r="AB37">
        <f t="shared" si="3"/>
        <v>2.0319122905179726E-30</v>
      </c>
      <c r="AI37">
        <f t="shared" si="1"/>
        <v>2.0326059625314943E-30</v>
      </c>
      <c r="AJ37">
        <f t="shared" si="2"/>
        <v>2.285162493052935E-28</v>
      </c>
    </row>
    <row r="38" spans="26:36" ht="12.75">
      <c r="Z38">
        <v>0.016</v>
      </c>
      <c r="AA38">
        <f t="shared" si="0"/>
        <v>2.36178601253943E-27</v>
      </c>
      <c r="AB38">
        <f t="shared" si="3"/>
        <v>2.3597534065768984E-27</v>
      </c>
      <c r="AI38">
        <f t="shared" si="1"/>
        <v>2.36178601253943E-27</v>
      </c>
      <c r="AJ38">
        <f t="shared" si="2"/>
        <v>2.5104178535299677E-25</v>
      </c>
    </row>
    <row r="39" spans="26:36" ht="12.75">
      <c r="Z39">
        <v>0.017</v>
      </c>
      <c r="AA39">
        <f t="shared" si="0"/>
        <v>1.2475381126945048E-24</v>
      </c>
      <c r="AB39">
        <f t="shared" si="3"/>
        <v>1.2451763266819654E-24</v>
      </c>
      <c r="AI39">
        <f t="shared" si="1"/>
        <v>1.2475381126945048E-24</v>
      </c>
      <c r="AJ39">
        <f t="shared" si="2"/>
        <v>1.2542519448069335E-22</v>
      </c>
    </row>
    <row r="40" spans="26:36" ht="12.75">
      <c r="Z40">
        <v>0.018</v>
      </c>
      <c r="AA40">
        <f t="shared" si="0"/>
        <v>3.34564691094708E-22</v>
      </c>
      <c r="AB40">
        <f t="shared" si="3"/>
        <v>3.333171529820135E-22</v>
      </c>
      <c r="AI40">
        <f t="shared" si="1"/>
        <v>3.34564691094708E-22</v>
      </c>
      <c r="AJ40">
        <f t="shared" si="2"/>
        <v>3.1822971122250404E-20</v>
      </c>
    </row>
    <row r="41" spans="26:36" ht="12.75">
      <c r="Z41">
        <v>0.019</v>
      </c>
      <c r="AA41">
        <f t="shared" si="0"/>
        <v>4.986538875736018E-20</v>
      </c>
      <c r="AB41">
        <f t="shared" si="3"/>
        <v>4.9530824066265476E-20</v>
      </c>
      <c r="AI41">
        <f t="shared" si="1"/>
        <v>4.986538875736018E-20</v>
      </c>
      <c r="AJ41">
        <f t="shared" si="2"/>
        <v>4.487669489832409E-18</v>
      </c>
    </row>
    <row r="42" spans="26:36" ht="12.75">
      <c r="Z42">
        <v>0.02</v>
      </c>
      <c r="AA42">
        <f t="shared" si="0"/>
        <v>4.451548560759631E-18</v>
      </c>
      <c r="AB42">
        <f t="shared" si="3"/>
        <v>4.4016831720022704E-18</v>
      </c>
      <c r="AI42">
        <f t="shared" si="1"/>
        <v>4.451548560759631E-18</v>
      </c>
      <c r="AJ42">
        <f t="shared" si="2"/>
        <v>3.7901590079684885E-16</v>
      </c>
    </row>
    <row r="43" spans="26:36" ht="12.75">
      <c r="Z43">
        <v>0.021</v>
      </c>
      <c r="AA43">
        <f t="shared" si="0"/>
        <v>2.5337647855903756E-16</v>
      </c>
      <c r="AB43">
        <f t="shared" si="3"/>
        <v>2.4892492999827793E-16</v>
      </c>
      <c r="AI43">
        <f t="shared" si="1"/>
        <v>2.5337647855903756E-16</v>
      </c>
      <c r="AJ43">
        <f t="shared" si="2"/>
        <v>2.0405001981567188E-14</v>
      </c>
    </row>
    <row r="44" spans="26:36" ht="12.75">
      <c r="Z44">
        <v>0.022</v>
      </c>
      <c r="AA44">
        <f t="shared" si="0"/>
        <v>9.69268057334734E-15</v>
      </c>
      <c r="AB44">
        <f t="shared" si="3"/>
        <v>9.439304094788302E-15</v>
      </c>
      <c r="AI44">
        <f t="shared" si="1"/>
        <v>9.69268057334734E-15</v>
      </c>
      <c r="AJ44">
        <f t="shared" si="2"/>
        <v>7.380327188486998E-13</v>
      </c>
    </row>
    <row r="45" spans="26:36" ht="12.75">
      <c r="Z45">
        <v>0.023</v>
      </c>
      <c r="AA45">
        <f t="shared" si="0"/>
        <v>2.606009633179584E-13</v>
      </c>
      <c r="AB45">
        <f t="shared" si="3"/>
        <v>2.5090828274461107E-13</v>
      </c>
      <c r="AI45">
        <f t="shared" si="1"/>
        <v>2.606009633179584E-13</v>
      </c>
      <c r="AJ45">
        <f t="shared" si="2"/>
        <v>1.875191136738455E-11</v>
      </c>
    </row>
    <row r="46" spans="26:36" ht="12.75">
      <c r="Z46">
        <v>0.024</v>
      </c>
      <c r="AA46">
        <f t="shared" si="0"/>
        <v>5.116652059073676E-12</v>
      </c>
      <c r="AB46">
        <f t="shared" si="3"/>
        <v>4.856051095755718E-12</v>
      </c>
      <c r="AI46">
        <f t="shared" si="1"/>
        <v>5.116652059073676E-12</v>
      </c>
      <c r="AJ46">
        <f t="shared" si="2"/>
        <v>3.4770339186952306E-10</v>
      </c>
    </row>
    <row r="47" spans="26:36" ht="12.75">
      <c r="Z47">
        <v>0.025</v>
      </c>
      <c r="AA47">
        <f t="shared" si="0"/>
        <v>7.582070506154305E-11</v>
      </c>
      <c r="AB47">
        <f t="shared" si="3"/>
        <v>7.070405300246937E-11</v>
      </c>
      <c r="AI47">
        <f t="shared" si="1"/>
        <v>7.582070506154305E-11</v>
      </c>
      <c r="AJ47">
        <f>NORMDIST(LN(Z47),$D$28,$D$30,FALSE)</f>
        <v>4.862041192133228E-09</v>
      </c>
    </row>
    <row r="48" spans="26:36" ht="12.75">
      <c r="Z48">
        <v>0.026</v>
      </c>
      <c r="AA48">
        <f t="shared" si="0"/>
        <v>8.72535212954556E-10</v>
      </c>
      <c r="AB48">
        <f t="shared" si="3"/>
        <v>7.96714507893013E-10</v>
      </c>
      <c r="AI48">
        <f t="shared" si="1"/>
        <v>8.72535212954556E-10</v>
      </c>
      <c r="AJ48">
        <f t="shared" si="2"/>
        <v>5.2748825921605654E-08</v>
      </c>
    </row>
    <row r="49" spans="26:36" ht="12.75">
      <c r="Z49">
        <v>0.027</v>
      </c>
      <c r="AA49">
        <f t="shared" si="0"/>
        <v>7.994212157496517E-09</v>
      </c>
      <c r="AB49">
        <f t="shared" si="3"/>
        <v>7.121676944541961E-09</v>
      </c>
      <c r="AI49">
        <f t="shared" si="1"/>
        <v>7.994212157496517E-09</v>
      </c>
      <c r="AJ49">
        <f t="shared" si="2"/>
        <v>4.5512467108848844E-07</v>
      </c>
    </row>
    <row r="50" spans="26:36" ht="12.75">
      <c r="Z50">
        <v>0.028</v>
      </c>
      <c r="AA50">
        <f t="shared" si="0"/>
        <v>5.9597589911931943E-08</v>
      </c>
      <c r="AB50">
        <f t="shared" si="3"/>
        <v>5.1603377754435425E-08</v>
      </c>
      <c r="AI50">
        <f t="shared" si="1"/>
        <v>5.9597589911931943E-08</v>
      </c>
      <c r="AJ50">
        <f t="shared" si="2"/>
        <v>3.191284531090123E-06</v>
      </c>
    </row>
    <row r="51" spans="26:36" ht="12.75">
      <c r="Z51">
        <v>0.029</v>
      </c>
      <c r="AA51">
        <f t="shared" si="0"/>
        <v>3.685282626314327E-07</v>
      </c>
      <c r="AB51">
        <f t="shared" si="3"/>
        <v>3.0893067271950076E-07</v>
      </c>
      <c r="AI51">
        <f t="shared" si="1"/>
        <v>3.685282626314327E-07</v>
      </c>
      <c r="AJ51">
        <f t="shared" si="2"/>
        <v>1.853422006681651E-05</v>
      </c>
    </row>
    <row r="52" spans="26:36" ht="12.75">
      <c r="Z52">
        <v>0.03</v>
      </c>
      <c r="AA52">
        <f t="shared" si="0"/>
        <v>1.9225025301774922E-06</v>
      </c>
      <c r="AB52">
        <f>AA52-AA51</f>
        <v>1.5539742675460595E-06</v>
      </c>
      <c r="AI52">
        <f t="shared" si="1"/>
        <v>1.9225025301774922E-06</v>
      </c>
      <c r="AJ52">
        <f t="shared" si="2"/>
        <v>9.066590771540092E-05</v>
      </c>
    </row>
    <row r="53" spans="26:36" ht="12.75">
      <c r="Z53">
        <v>0.031</v>
      </c>
      <c r="AA53">
        <f t="shared" si="0"/>
        <v>8.589319673511487E-06</v>
      </c>
      <c r="AB53">
        <f t="shared" si="3"/>
        <v>6.666817143333994E-06</v>
      </c>
      <c r="AI53">
        <f t="shared" si="1"/>
        <v>8.589319673511487E-06</v>
      </c>
      <c r="AJ53">
        <f t="shared" si="2"/>
        <v>0.00037916888063615697</v>
      </c>
    </row>
    <row r="54" spans="26:36" ht="12.75">
      <c r="Z54">
        <v>0.032</v>
      </c>
      <c r="AA54">
        <f t="shared" si="0"/>
        <v>3.3310545478016093E-05</v>
      </c>
      <c r="AB54">
        <f t="shared" si="3"/>
        <v>2.4721225804504607E-05</v>
      </c>
      <c r="AI54">
        <f t="shared" si="1"/>
        <v>3.3310545478016093E-05</v>
      </c>
      <c r="AJ54">
        <f t="shared" si="2"/>
        <v>0.001373678342632795</v>
      </c>
    </row>
    <row r="55" spans="26:36" ht="12.75">
      <c r="Z55">
        <v>0.033</v>
      </c>
      <c r="AA55">
        <f t="shared" si="0"/>
        <v>0.00011349138280998886</v>
      </c>
      <c r="AB55">
        <f t="shared" si="3"/>
        <v>8.018083733197276E-05</v>
      </c>
      <c r="AI55">
        <f t="shared" si="1"/>
        <v>0.00011349138280998886</v>
      </c>
      <c r="AJ55">
        <f t="shared" si="2"/>
        <v>0.004362437655518768</v>
      </c>
    </row>
    <row r="56" spans="26:36" ht="12.75">
      <c r="Z56">
        <v>0.034</v>
      </c>
      <c r="AA56">
        <f t="shared" si="0"/>
        <v>0.0003434024683725159</v>
      </c>
      <c r="AB56">
        <f t="shared" si="3"/>
        <v>0.00022991108556252702</v>
      </c>
      <c r="AI56">
        <f t="shared" si="1"/>
        <v>0.0003434024683725159</v>
      </c>
      <c r="AJ56">
        <f t="shared" si="2"/>
        <v>0.012273205898948087</v>
      </c>
    </row>
    <row r="57" spans="26:36" ht="12.75">
      <c r="Z57">
        <v>0.035</v>
      </c>
      <c r="AA57">
        <f t="shared" si="0"/>
        <v>0.000931855912870225</v>
      </c>
      <c r="AB57">
        <f t="shared" si="3"/>
        <v>0.0005884534444977091</v>
      </c>
      <c r="AI57">
        <f t="shared" si="1"/>
        <v>0.000931855912870225</v>
      </c>
      <c r="AJ57">
        <f t="shared" si="2"/>
        <v>0.0308814344002929</v>
      </c>
    </row>
    <row r="58" spans="26:36" ht="12.75">
      <c r="Z58">
        <v>0.036</v>
      </c>
      <c r="AA58">
        <f t="shared" si="0"/>
        <v>0.0022879600012508895</v>
      </c>
      <c r="AB58">
        <f t="shared" si="3"/>
        <v>0.0013561040883806645</v>
      </c>
      <c r="AI58">
        <f t="shared" si="1"/>
        <v>0.0022879600012508895</v>
      </c>
      <c r="AJ58">
        <f t="shared" si="2"/>
        <v>0.07009145885399448</v>
      </c>
    </row>
    <row r="59" spans="26:36" ht="12.75">
      <c r="Z59">
        <v>0.037</v>
      </c>
      <c r="AA59">
        <f t="shared" si="0"/>
        <v>0.005123978533787444</v>
      </c>
      <c r="AB59">
        <f t="shared" si="3"/>
        <v>0.002836018532536555</v>
      </c>
      <c r="AI59">
        <f t="shared" si="1"/>
        <v>0.005123978533787444</v>
      </c>
      <c r="AJ59">
        <f t="shared" si="2"/>
        <v>0.14461707269338997</v>
      </c>
    </row>
    <row r="60" spans="26:36" ht="12.75">
      <c r="Z60">
        <v>0.038</v>
      </c>
      <c r="AA60">
        <f t="shared" si="0"/>
        <v>0.010544600324365995</v>
      </c>
      <c r="AB60">
        <f t="shared" si="3"/>
        <v>0.005420621790578551</v>
      </c>
      <c r="AI60">
        <f t="shared" si="1"/>
        <v>0.010544600324365995</v>
      </c>
      <c r="AJ60">
        <f t="shared" si="2"/>
        <v>0.27315120230298706</v>
      </c>
    </row>
    <row r="61" spans="26:36" ht="12.75">
      <c r="Z61">
        <v>0.039</v>
      </c>
      <c r="AA61">
        <f t="shared" si="0"/>
        <v>0.020075208909024922</v>
      </c>
      <c r="AB61">
        <f t="shared" si="3"/>
        <v>0.009530608584658927</v>
      </c>
      <c r="AI61">
        <f t="shared" si="1"/>
        <v>0.020075208909024922</v>
      </c>
      <c r="AJ61">
        <f t="shared" si="2"/>
        <v>0.4753113176752315</v>
      </c>
    </row>
    <row r="62" spans="26:36" ht="12.75">
      <c r="Z62">
        <v>0.04</v>
      </c>
      <c r="AA62">
        <f t="shared" si="0"/>
        <v>0.035580538260645174</v>
      </c>
      <c r="AB62">
        <f t="shared" si="3"/>
        <v>0.015505329351620252</v>
      </c>
      <c r="AI62">
        <f t="shared" si="1"/>
        <v>0.035580538260645174</v>
      </c>
      <c r="AJ62">
        <f t="shared" si="2"/>
        <v>0.766405825038841</v>
      </c>
    </row>
    <row r="63" spans="1:36" ht="12.75">
      <c r="A63" t="s">
        <v>60</v>
      </c>
      <c r="Z63">
        <v>0.041</v>
      </c>
      <c r="AA63">
        <f t="shared" si="0"/>
        <v>0.05904791625145344</v>
      </c>
      <c r="AB63">
        <f t="shared" si="3"/>
        <v>0.023467377990808266</v>
      </c>
      <c r="AI63">
        <f t="shared" si="1"/>
        <v>0.05904791625145344</v>
      </c>
      <c r="AJ63">
        <f t="shared" si="2"/>
        <v>1.1511666645029017</v>
      </c>
    </row>
    <row r="64" spans="26:36" ht="12.75">
      <c r="Z64">
        <v>0.042</v>
      </c>
      <c r="AA64">
        <f t="shared" si="0"/>
        <v>0.0922531416492724</v>
      </c>
      <c r="AB64">
        <f t="shared" si="3"/>
        <v>0.033205225397818956</v>
      </c>
      <c r="AI64">
        <f t="shared" si="1"/>
        <v>0.0922531416492724</v>
      </c>
      <c r="AJ64">
        <f>NORMDIST(LN(Z64),$D$28,$D$30,FALSE)</f>
        <v>1.6184987665600181</v>
      </c>
    </row>
    <row r="65" spans="26:36" ht="12.75">
      <c r="Z65">
        <v>0.043</v>
      </c>
      <c r="AA65">
        <f t="shared" si="0"/>
        <v>0.13637594321354704</v>
      </c>
      <c r="AB65">
        <f t="shared" si="3"/>
        <v>0.044122801564274644</v>
      </c>
      <c r="AI65">
        <f t="shared" si="1"/>
        <v>0.13637594321354704</v>
      </c>
      <c r="AJ65">
        <f t="shared" si="2"/>
        <v>2.139443760667423</v>
      </c>
    </row>
    <row r="66" spans="26:36" ht="12.75">
      <c r="Z66">
        <v>0.044</v>
      </c>
      <c r="AA66">
        <f t="shared" si="0"/>
        <v>0.1916639058924864</v>
      </c>
      <c r="AB66">
        <f t="shared" si="3"/>
        <v>0.05528796267893937</v>
      </c>
      <c r="AI66">
        <f t="shared" si="1"/>
        <v>0.1916639058924864</v>
      </c>
      <c r="AJ66">
        <f t="shared" si="2"/>
        <v>2.6697157919425525</v>
      </c>
    </row>
    <row r="67" spans="26:36" ht="12.75">
      <c r="Z67">
        <v>0.045</v>
      </c>
      <c r="AA67">
        <f t="shared" si="0"/>
        <v>0.25724227358889085</v>
      </c>
      <c r="AB67">
        <f t="shared" si="3"/>
        <v>0.06557836769640443</v>
      </c>
      <c r="AI67">
        <f t="shared" si="1"/>
        <v>0.25724227358889085</v>
      </c>
      <c r="AJ67">
        <f t="shared" si="2"/>
        <v>3.156631290448782</v>
      </c>
    </row>
    <row r="68" spans="26:36" ht="12.75">
      <c r="Z68">
        <v>0.046</v>
      </c>
      <c r="AA68">
        <f t="shared" si="0"/>
        <v>0.33113036729817685</v>
      </c>
      <c r="AB68">
        <f t="shared" si="3"/>
        <v>0.073888093709286</v>
      </c>
      <c r="AI68">
        <f t="shared" si="1"/>
        <v>0.33113036729817685</v>
      </c>
      <c r="AJ68">
        <f t="shared" si="2"/>
        <v>3.548690451748708</v>
      </c>
    </row>
    <row r="69" spans="26:36" ht="12.75">
      <c r="Z69">
        <v>0.047</v>
      </c>
      <c r="AA69">
        <f t="shared" si="0"/>
        <v>0.4104673486108091</v>
      </c>
      <c r="AB69">
        <f t="shared" si="3"/>
        <v>0.07933698131263223</v>
      </c>
      <c r="AI69">
        <f t="shared" si="1"/>
        <v>0.4104673486108091</v>
      </c>
      <c r="AJ69">
        <f t="shared" si="2"/>
        <v>3.8051582956362435</v>
      </c>
    </row>
    <row r="70" spans="26:36" ht="12.75">
      <c r="Z70">
        <v>0.048</v>
      </c>
      <c r="AA70">
        <f t="shared" si="0"/>
        <v>0.49189295233139396</v>
      </c>
      <c r="AB70">
        <f t="shared" si="3"/>
        <v>0.08142560372058488</v>
      </c>
      <c r="AI70">
        <f t="shared" si="1"/>
        <v>0.49189295233139396</v>
      </c>
      <c r="AJ70">
        <f t="shared" si="2"/>
        <v>3.903082596859092</v>
      </c>
    </row>
    <row r="71" spans="26:36" ht="12.75">
      <c r="Z71">
        <v>0.049</v>
      </c>
      <c r="AA71">
        <f t="shared" si="0"/>
        <v>0.5719925363538465</v>
      </c>
      <c r="AB71">
        <f t="shared" si="3"/>
        <v>0.08009958402245254</v>
      </c>
      <c r="AI71">
        <f t="shared" si="1"/>
        <v>0.5719925363538465</v>
      </c>
      <c r="AJ71">
        <f t="shared" si="2"/>
        <v>3.8401492528641734</v>
      </c>
    </row>
    <row r="72" spans="26:36" ht="12.75">
      <c r="Z72">
        <v>0.05</v>
      </c>
      <c r="AA72">
        <f t="shared" si="0"/>
        <v>0.647709854334103</v>
      </c>
      <c r="AB72">
        <f t="shared" si="3"/>
        <v>0.0757173179802565</v>
      </c>
      <c r="AI72">
        <f t="shared" si="1"/>
        <v>0.647709854334103</v>
      </c>
      <c r="AJ72">
        <f t="shared" si="2"/>
        <v>3.633141652890695</v>
      </c>
    </row>
    <row r="73" spans="26:36" ht="12.75">
      <c r="Z73">
        <v>0.051</v>
      </c>
      <c r="AA73">
        <f t="shared" si="0"/>
        <v>0.7166524008860023</v>
      </c>
      <c r="AB73">
        <f t="shared" si="3"/>
        <v>0.06894254655189935</v>
      </c>
      <c r="AI73">
        <f t="shared" si="1"/>
        <v>0.7166524008860023</v>
      </c>
      <c r="AJ73">
        <f t="shared" si="2"/>
        <v>3.312990958468896</v>
      </c>
    </row>
    <row r="74" spans="26:36" ht="12.75">
      <c r="Z74">
        <v>0.052</v>
      </c>
      <c r="AA74">
        <f t="shared" si="0"/>
        <v>0.7772513015638589</v>
      </c>
      <c r="AB74">
        <f t="shared" si="3"/>
        <v>0.06059890067785656</v>
      </c>
      <c r="AI74">
        <f t="shared" si="1"/>
        <v>0.7772513015638589</v>
      </c>
      <c r="AJ74">
        <f t="shared" si="2"/>
        <v>2.918098353466004</v>
      </c>
    </row>
    <row r="75" spans="26:36" ht="12.75">
      <c r="Z75">
        <v>0.053</v>
      </c>
      <c r="AA75">
        <f t="shared" si="0"/>
        <v>0.8287763870781506</v>
      </c>
      <c r="AB75">
        <f t="shared" si="3"/>
        <v>0.05152508551429169</v>
      </c>
      <c r="AI75">
        <f t="shared" si="1"/>
        <v>0.8287763870781506</v>
      </c>
      <c r="AJ75">
        <f t="shared" si="2"/>
        <v>2.487676208382538</v>
      </c>
    </row>
    <row r="76" spans="26:36" ht="12.75">
      <c r="Z76">
        <v>0.054</v>
      </c>
      <c r="AA76">
        <f t="shared" si="0"/>
        <v>0.8712363067856523</v>
      </c>
      <c r="AB76">
        <f t="shared" si="3"/>
        <v>0.042459919707501736</v>
      </c>
      <c r="AI76">
        <f t="shared" si="1"/>
        <v>0.8712363067856523</v>
      </c>
      <c r="AJ76">
        <f t="shared" si="2"/>
        <v>2.056432841223775</v>
      </c>
    </row>
    <row r="77" spans="26:36" ht="12.75">
      <c r="Z77">
        <v>0.055</v>
      </c>
      <c r="AA77">
        <f t="shared" si="0"/>
        <v>0.9052082039676909</v>
      </c>
      <c r="AB77">
        <f t="shared" si="3"/>
        <v>0.033971897182038524</v>
      </c>
      <c r="AI77">
        <f t="shared" si="1"/>
        <v>0.9052082039676909</v>
      </c>
      <c r="AJ77">
        <f t="shared" si="2"/>
        <v>1.6512752399879829</v>
      </c>
    </row>
    <row r="78" spans="26:36" ht="12.75">
      <c r="Z78">
        <v>0.056</v>
      </c>
      <c r="AA78">
        <f t="shared" si="0"/>
        <v>0.9316421939694272</v>
      </c>
      <c r="AB78">
        <f t="shared" si="3"/>
        <v>0.026433990001736296</v>
      </c>
      <c r="AI78">
        <f t="shared" si="1"/>
        <v>0.9316421939694272</v>
      </c>
      <c r="AJ78">
        <f t="shared" si="2"/>
        <v>1.2900771962834112</v>
      </c>
    </row>
    <row r="79" spans="26:36" ht="12.75">
      <c r="Z79">
        <v>0.057</v>
      </c>
      <c r="AA79">
        <f t="shared" si="0"/>
        <v>0.9516768816596797</v>
      </c>
      <c r="AB79">
        <f t="shared" si="3"/>
        <v>0.020034687690252517</v>
      </c>
      <c r="AI79">
        <f t="shared" si="1"/>
        <v>0.9516768816596797</v>
      </c>
      <c r="AJ79">
        <f t="shared" si="2"/>
        <v>0.9821184068529667</v>
      </c>
    </row>
    <row r="80" spans="26:36" ht="12.75">
      <c r="Z80">
        <v>0.058</v>
      </c>
      <c r="AA80">
        <f t="shared" si="0"/>
        <v>0.9664887662453939</v>
      </c>
      <c r="AB80">
        <f t="shared" si="3"/>
        <v>0.014811884585714252</v>
      </c>
      <c r="AI80">
        <f t="shared" si="1"/>
        <v>0.9664887662453939</v>
      </c>
      <c r="AJ80">
        <f t="shared" si="2"/>
        <v>0.7295949864444916</v>
      </c>
    </row>
    <row r="81" spans="26:36" ht="12.75">
      <c r="Z81">
        <v>0.059</v>
      </c>
      <c r="AA81">
        <f t="shared" si="0"/>
        <v>0.9771851411360308</v>
      </c>
      <c r="AB81">
        <f t="shared" si="3"/>
        <v>0.010696374890636906</v>
      </c>
      <c r="AI81">
        <f t="shared" si="1"/>
        <v>0.9771851411360308</v>
      </c>
      <c r="AJ81">
        <f t="shared" si="2"/>
        <v>0.5296002859672294</v>
      </c>
    </row>
    <row r="82" spans="26:36" ht="12.75">
      <c r="Z82">
        <v>0.06</v>
      </c>
      <c r="AA82">
        <f t="shared" si="0"/>
        <v>0.9847398015024047</v>
      </c>
      <c r="AB82">
        <f t="shared" si="3"/>
        <v>0.0075546603663738665</v>
      </c>
      <c r="AI82">
        <f t="shared" si="1"/>
        <v>0.9847398015024047</v>
      </c>
      <c r="AJ82">
        <f t="shared" si="2"/>
        <v>0.3761015808258334</v>
      </c>
    </row>
    <row r="83" spans="26:36" ht="12.75">
      <c r="Z83">
        <v>0.061</v>
      </c>
      <c r="AA83">
        <f t="shared" si="0"/>
        <v>0.9899645382361038</v>
      </c>
      <c r="AB83">
        <f t="shared" si="3"/>
        <v>0.0052247367336990536</v>
      </c>
      <c r="AI83">
        <f>NORMDIST(LN(Z83),$D$28,$D$30,TRUE)</f>
        <v>0.9899645382361038</v>
      </c>
      <c r="AJ83">
        <f t="shared" si="2"/>
        <v>0.2616141896139338</v>
      </c>
    </row>
    <row r="84" spans="26:36" ht="12.75">
      <c r="Z84">
        <v>0.062</v>
      </c>
      <c r="AA84">
        <f t="shared" si="0"/>
        <v>0.9935067320258038</v>
      </c>
      <c r="AB84">
        <f t="shared" si="3"/>
        <v>0.003542193789699999</v>
      </c>
      <c r="AI84">
        <f t="shared" si="1"/>
        <v>0.9935067320258038</v>
      </c>
      <c r="AJ84">
        <f t="shared" si="2"/>
        <v>0.17844079721044684</v>
      </c>
    </row>
    <row r="85" spans="26:36" ht="12.75">
      <c r="Z85">
        <v>0.063</v>
      </c>
      <c r="AA85">
        <f t="shared" si="0"/>
        <v>0.9958633896551906</v>
      </c>
      <c r="AB85">
        <f t="shared" si="3"/>
        <v>0.00235665762938686</v>
      </c>
      <c r="AI85">
        <f t="shared" si="1"/>
        <v>0.9958633896551906</v>
      </c>
      <c r="AJ85">
        <f t="shared" si="2"/>
        <v>0.11946824338739143</v>
      </c>
    </row>
    <row r="86" spans="26:36" ht="12.75">
      <c r="Z86">
        <v>0.064</v>
      </c>
      <c r="AA86">
        <f t="shared" si="0"/>
        <v>0.9974035553461578</v>
      </c>
      <c r="AB86">
        <f t="shared" si="3"/>
        <v>0.0015401656909671546</v>
      </c>
      <c r="AI86">
        <f t="shared" si="1"/>
        <v>0.9974035553461578</v>
      </c>
      <c r="AJ86">
        <f t="shared" si="2"/>
        <v>0.07858837447146565</v>
      </c>
    </row>
    <row r="87" spans="26:36" ht="12.75">
      <c r="Z87">
        <v>0.065</v>
      </c>
      <c r="AA87">
        <f t="shared" si="0"/>
        <v>0.9983932251059755</v>
      </c>
      <c r="AB87">
        <f t="shared" si="3"/>
        <v>0.000989669759817735</v>
      </c>
      <c r="AI87">
        <f t="shared" si="1"/>
        <v>0.9983932251059755</v>
      </c>
      <c r="AJ87">
        <f t="shared" si="2"/>
        <v>0.05084039157993771</v>
      </c>
    </row>
    <row r="88" spans="26:36" ht="12.75">
      <c r="Z88">
        <v>0.066</v>
      </c>
      <c r="AA88">
        <f aca="true" t="shared" si="4" ref="AA88:AA94">LOGNORMDIST(Z88,$D$28,$D$30)</f>
        <v>0.999019041025275</v>
      </c>
      <c r="AB88">
        <f t="shared" si="3"/>
        <v>0.0006258159192994439</v>
      </c>
      <c r="AI88">
        <f aca="true" t="shared" si="5" ref="AI88:AI94">NORMDIST(LN(Z88),$D$28,$D$30,TRUE)</f>
        <v>0.999019041025275</v>
      </c>
      <c r="AJ88">
        <f aca="true" t="shared" si="6" ref="AJ88:AJ94">NORMDIST(LN(Z88),$D$28,$D$30,FALSE)</f>
        <v>0.03237266301729033</v>
      </c>
    </row>
    <row r="89" spans="26:36" ht="12.75">
      <c r="Z89">
        <v>0.067</v>
      </c>
      <c r="AA89">
        <f t="shared" si="4"/>
        <v>0.9994087998597528</v>
      </c>
      <c r="AB89">
        <f>AA89-AA88</f>
        <v>0.0003897588344778935</v>
      </c>
      <c r="AI89">
        <f t="shared" si="5"/>
        <v>0.9994087998597528</v>
      </c>
      <c r="AJ89">
        <f t="shared" si="6"/>
        <v>0.020305780638815753</v>
      </c>
    </row>
    <row r="90" spans="26:36" ht="12.75">
      <c r="Z90">
        <v>0.068</v>
      </c>
      <c r="AA90">
        <f t="shared" si="4"/>
        <v>0.9996480639680976</v>
      </c>
      <c r="AB90">
        <f>AA90-AA89</f>
        <v>0.00023926410834473888</v>
      </c>
      <c r="AI90">
        <f t="shared" si="5"/>
        <v>0.9996480639680976</v>
      </c>
      <c r="AJ90">
        <f t="shared" si="6"/>
        <v>0.012556409633414882</v>
      </c>
    </row>
    <row r="91" spans="26:36" ht="12.75">
      <c r="Z91">
        <v>0.069</v>
      </c>
      <c r="AA91">
        <f t="shared" si="4"/>
        <v>0.9997929449872088</v>
      </c>
      <c r="AB91">
        <f>AA91-AA90</f>
        <v>0.00014488101911125373</v>
      </c>
      <c r="AI91">
        <f t="shared" si="5"/>
        <v>0.9997929449872088</v>
      </c>
      <c r="AJ91">
        <f t="shared" si="6"/>
        <v>0.007660021063904758</v>
      </c>
    </row>
    <row r="92" spans="1:36" ht="12.75">
      <c r="A92" t="s">
        <v>61</v>
      </c>
      <c r="Z92">
        <v>0.07</v>
      </c>
      <c r="AA92">
        <f t="shared" si="4"/>
        <v>0.99987954144498</v>
      </c>
      <c r="AB92">
        <f>AA92-AA91</f>
        <v>8.659645777120417E-05</v>
      </c>
      <c r="AI92">
        <f t="shared" si="5"/>
        <v>0.99987954144498</v>
      </c>
      <c r="AJ92">
        <f t="shared" si="6"/>
        <v>0.004613281611571455</v>
      </c>
    </row>
    <row r="93" spans="2:36" ht="12.75">
      <c r="B93" t="s">
        <v>62</v>
      </c>
      <c r="Z93">
        <v>0.071</v>
      </c>
      <c r="AA93">
        <f t="shared" si="4"/>
        <v>0.9999306659614947</v>
      </c>
      <c r="AB93">
        <f>AA93-AA92</f>
        <v>5.1124516514677865E-05</v>
      </c>
      <c r="AI93">
        <f t="shared" si="5"/>
        <v>0.9999306659614947</v>
      </c>
      <c r="AJ93">
        <f t="shared" si="6"/>
        <v>0.0027446443029093023</v>
      </c>
    </row>
    <row r="94" spans="26:36" ht="12.75">
      <c r="Z94">
        <v>0.076</v>
      </c>
      <c r="AA94">
        <f t="shared" si="4"/>
        <v>0.9999962057365538</v>
      </c>
      <c r="AB94" t="e">
        <f>AA94-#REF!</f>
        <v>#REF!</v>
      </c>
      <c r="AI94">
        <f t="shared" si="5"/>
        <v>0.9999962057365538</v>
      </c>
      <c r="AJ94">
        <f t="shared" si="6"/>
        <v>0.00017382794137273336</v>
      </c>
    </row>
    <row r="95" ht="12.75">
      <c r="A95" t="s">
        <v>63</v>
      </c>
    </row>
    <row r="96" spans="2:11" ht="12.75">
      <c r="B96" t="s">
        <v>64</v>
      </c>
      <c r="K96" s="2"/>
    </row>
    <row r="98" ht="12.75">
      <c r="A98" t="s">
        <v>65</v>
      </c>
    </row>
    <row r="99" spans="2:6" ht="12.75">
      <c r="B99" t="s">
        <v>79</v>
      </c>
      <c r="C99">
        <v>0.0478821</v>
      </c>
      <c r="E99" t="s">
        <v>80</v>
      </c>
      <c r="F99">
        <v>0.95307</v>
      </c>
    </row>
    <row r="100" spans="2:6" ht="12.75">
      <c r="B100">
        <f>BloombergCap(D24,C99,F99,D25,(J29-J28-2)/360,(J31-J29)/360,D31)</f>
        <v>5310.880590719185</v>
      </c>
      <c r="D100" t="s">
        <v>69</v>
      </c>
      <c r="F100">
        <v>5326.85</v>
      </c>
    </row>
    <row r="101" spans="7:10" ht="12.75">
      <c r="G101" t="s">
        <v>225</v>
      </c>
      <c r="J101" s="2">
        <v>1131.07</v>
      </c>
    </row>
    <row r="102" spans="1:11" ht="12.75">
      <c r="A102" t="s">
        <v>70</v>
      </c>
      <c r="H102" t="s">
        <v>226</v>
      </c>
      <c r="J102">
        <f>D24-C99</f>
        <v>0.00046950000000000464</v>
      </c>
      <c r="K102">
        <f>J102*10000000*0.2528</f>
        <v>1186.8960000000118</v>
      </c>
    </row>
    <row r="103" spans="2:11" ht="12.75">
      <c r="B103" t="s">
        <v>71</v>
      </c>
      <c r="K103" s="2">
        <f>K102*F99</f>
        <v>1131.1949707200113</v>
      </c>
    </row>
    <row r="104" spans="3:6" ht="12.75">
      <c r="C104" t="s">
        <v>72</v>
      </c>
      <c r="E104">
        <v>0.0478821</v>
      </c>
      <c r="F104" t="s">
        <v>73</v>
      </c>
    </row>
    <row r="105" ht="12.75">
      <c r="C105" t="s">
        <v>74</v>
      </c>
    </row>
    <row r="106" spans="3:13" ht="12.75">
      <c r="C106">
        <f>ND2(D24,E104,D25,D26)</f>
        <v>0.5177025146161955</v>
      </c>
      <c r="D106" t="s">
        <v>75</v>
      </c>
      <c r="M106" t="s">
        <v>76</v>
      </c>
    </row>
    <row r="107" ht="12.75">
      <c r="B107" t="s">
        <v>83</v>
      </c>
    </row>
    <row r="108" spans="6:12" ht="12.75">
      <c r="F108">
        <f>ND1(D24,E104,D25,D26)</f>
        <v>0.5582679112487616</v>
      </c>
      <c r="G108" t="s">
        <v>81</v>
      </c>
      <c r="L108" t="s">
        <v>84</v>
      </c>
    </row>
    <row r="109" spans="3:7" ht="12.75">
      <c r="C109" t="s">
        <v>77</v>
      </c>
      <c r="G109">
        <f>D24*F108</f>
        <v>0.026993146737535622</v>
      </c>
    </row>
    <row r="110" spans="3:7" ht="12.75">
      <c r="C110" t="s">
        <v>78</v>
      </c>
      <c r="G110">
        <f>C106*C99</f>
        <v>0.024788683575104133</v>
      </c>
    </row>
    <row r="111" spans="3:7" ht="12.75">
      <c r="C111" t="s">
        <v>166</v>
      </c>
      <c r="G111">
        <f>(G109-G110)*10000000*((J31-J29)/360)</f>
        <v>5572.392993924041</v>
      </c>
    </row>
    <row r="112" spans="2:8" ht="12.75">
      <c r="B112" t="s">
        <v>85</v>
      </c>
      <c r="G112">
        <f>F99*G111</f>
        <v>5310.880590719185</v>
      </c>
      <c r="H112" t="s">
        <v>82</v>
      </c>
    </row>
    <row r="115" ht="12.75">
      <c r="A115" t="s">
        <v>86</v>
      </c>
    </row>
    <row r="116" ht="12.75">
      <c r="A116" t="s">
        <v>219</v>
      </c>
    </row>
    <row r="117" ht="12.75">
      <c r="A117" t="s">
        <v>87</v>
      </c>
    </row>
    <row r="118" ht="12.75">
      <c r="A118" t="s">
        <v>220</v>
      </c>
    </row>
    <row r="119" ht="12.75">
      <c r="A119" t="s">
        <v>91</v>
      </c>
    </row>
    <row r="121" ht="12.75">
      <c r="A121" t="s">
        <v>88</v>
      </c>
    </row>
    <row r="122" ht="12.75">
      <c r="B122" t="s">
        <v>89</v>
      </c>
    </row>
    <row r="124" spans="3:8" ht="12.75">
      <c r="C124">
        <f>BloombergFloor(D24,C99,F99,D25,(J29-J28)/360,(J31-J29)/360,D31)</f>
        <v>4197.153910087495</v>
      </c>
      <c r="E124" t="s">
        <v>103</v>
      </c>
      <c r="H124">
        <f>FloorDelta(D24,C99,D25,(J29-J28)/360)</f>
        <v>-0.4417963422518511</v>
      </c>
    </row>
    <row r="126" ht="12.75">
      <c r="A126" t="s">
        <v>90</v>
      </c>
    </row>
    <row r="127" ht="12.75">
      <c r="B127" t="s">
        <v>92</v>
      </c>
    </row>
    <row r="128" ht="12.75">
      <c r="B128" t="s">
        <v>93</v>
      </c>
    </row>
    <row r="129" ht="12.75">
      <c r="B129" t="s">
        <v>94</v>
      </c>
    </row>
    <row r="130" ht="12.75">
      <c r="B130" t="s">
        <v>95</v>
      </c>
    </row>
    <row r="131" ht="12.75">
      <c r="C131" t="s">
        <v>96</v>
      </c>
    </row>
    <row r="133" spans="2:6" ht="12.75">
      <c r="B133" t="s">
        <v>97</v>
      </c>
      <c r="F133">
        <f>B100-C124</f>
        <v>1113.7266806316902</v>
      </c>
    </row>
    <row r="135" ht="12.75">
      <c r="A135" t="s">
        <v>98</v>
      </c>
    </row>
    <row r="136" ht="12.75">
      <c r="A136" t="s">
        <v>99</v>
      </c>
    </row>
    <row r="137" spans="10:11" ht="12.75">
      <c r="J137">
        <f>(B100-C124)^2</f>
        <v>1240387.1191508828</v>
      </c>
      <c r="K137" t="s">
        <v>100</v>
      </c>
    </row>
    <row r="138" ht="12.75">
      <c r="K138" t="s">
        <v>101</v>
      </c>
    </row>
    <row r="139" spans="1:18" ht="15">
      <c r="A139" s="9"/>
      <c r="B139" s="9"/>
      <c r="C139" s="9"/>
      <c r="D139" s="9"/>
      <c r="E139" s="9"/>
      <c r="F139" s="9"/>
      <c r="G139" s="9"/>
      <c r="H139" s="9"/>
      <c r="I139" s="9"/>
      <c r="J139" s="9"/>
      <c r="K139" s="9"/>
      <c r="L139" s="9"/>
      <c r="M139" s="9"/>
      <c r="N139" s="9"/>
      <c r="O139" s="9"/>
      <c r="P139" s="9"/>
      <c r="Q139" s="9"/>
      <c r="R139" s="9"/>
    </row>
    <row r="140" spans="1:18" ht="15">
      <c r="A140" s="9"/>
      <c r="B140" s="9"/>
      <c r="C140" s="9"/>
      <c r="D140" s="9"/>
      <c r="E140" s="9"/>
      <c r="F140" s="9"/>
      <c r="G140" s="9"/>
      <c r="H140" s="9"/>
      <c r="I140" s="9"/>
      <c r="J140" s="9"/>
      <c r="K140" s="9"/>
      <c r="L140" s="9"/>
      <c r="M140" s="9"/>
      <c r="N140" s="9"/>
      <c r="O140" s="9"/>
      <c r="P140" s="9"/>
      <c r="Q140" s="9"/>
      <c r="R140" s="9"/>
    </row>
    <row r="141" ht="12.75">
      <c r="A141" t="s">
        <v>170</v>
      </c>
    </row>
    <row r="143" ht="12.75">
      <c r="A143" t="s">
        <v>171</v>
      </c>
    </row>
    <row r="144" ht="12.75">
      <c r="B144" t="s">
        <v>172</v>
      </c>
    </row>
    <row r="146" spans="1:5" ht="12.75">
      <c r="A146" t="s">
        <v>173</v>
      </c>
      <c r="E146">
        <f>BloombergCap(D24,C99,F99,D25,(J29-J28)/360,(J31-J29)/360,D31)</f>
        <v>5328.249443837514</v>
      </c>
    </row>
    <row r="147" spans="1:6" ht="12.75">
      <c r="A147" t="s">
        <v>195</v>
      </c>
      <c r="E147">
        <v>1E-09</v>
      </c>
      <c r="F147" s="10" t="s">
        <v>175</v>
      </c>
    </row>
    <row r="148" spans="1:5" ht="12.75">
      <c r="A148" t="s">
        <v>176</v>
      </c>
      <c r="E148">
        <f>BloombergCap(D24+E147,C99,F99,D25,(J29-J28)/360,(J31-J29)/360,D31)</f>
        <v>5328.2507886334815</v>
      </c>
    </row>
    <row r="149" spans="1:6" ht="12.75">
      <c r="A149" t="s">
        <v>177</v>
      </c>
      <c r="E149">
        <f>E148-E146</f>
        <v>0.0013447959672703291</v>
      </c>
      <c r="F149" t="s">
        <v>168</v>
      </c>
    </row>
    <row r="150" spans="1:6" ht="12.75">
      <c r="A150" t="s">
        <v>178</v>
      </c>
      <c r="E150">
        <f>E149/E147</f>
        <v>1344795.9672703291</v>
      </c>
      <c r="F150" t="s">
        <v>169</v>
      </c>
    </row>
    <row r="151" spans="1:6" ht="12.75">
      <c r="A151" t="s">
        <v>184</v>
      </c>
      <c r="E151">
        <f>E150/(D31*((J31-J29)/360)*F99)</f>
        <v>0.5582036952618455</v>
      </c>
      <c r="F151" t="s">
        <v>185</v>
      </c>
    </row>
    <row r="153" spans="1:6" ht="12.75">
      <c r="A153" t="s">
        <v>179</v>
      </c>
      <c r="D153" t="s">
        <v>181</v>
      </c>
      <c r="E153" t="s">
        <v>182</v>
      </c>
      <c r="F153" t="s">
        <v>183</v>
      </c>
    </row>
    <row r="154" spans="2:6" ht="12.75">
      <c r="B154" t="s">
        <v>180</v>
      </c>
      <c r="D154">
        <f>(D24-C99)*(D31*((J31-J29)/360)*F99)</f>
        <v>1131.095533750011</v>
      </c>
      <c r="E154">
        <v>0.0001</v>
      </c>
      <c r="F154">
        <f>((D24+E154)-C99)*(D31*((J31-J29)/360)*F99)</f>
        <v>1372.0104504166845</v>
      </c>
    </row>
    <row r="155" spans="2:6" ht="12.75">
      <c r="B155" t="s">
        <v>186</v>
      </c>
      <c r="D155">
        <f>-1/E151*E146</f>
        <v>-9545.349643982752</v>
      </c>
      <c r="E155">
        <f>E154</f>
        <v>0.0001</v>
      </c>
      <c r="F155">
        <f>BloombergCap(D24+E154,C99,F99,D25,(J29-J28)/360,(J31-J29)/360,D31)*-1/E151</f>
        <v>-9787.979011159347</v>
      </c>
    </row>
    <row r="156" spans="2:6" ht="12.75">
      <c r="B156" t="s">
        <v>187</v>
      </c>
      <c r="D156">
        <f>D154+D155</f>
        <v>-8414.254110232741</v>
      </c>
      <c r="F156">
        <f>F154+F155</f>
        <v>-8415.968560742662</v>
      </c>
    </row>
    <row r="157" spans="18:20" ht="15">
      <c r="R157" s="3"/>
      <c r="S157" s="3"/>
      <c r="T157" s="3"/>
    </row>
    <row r="158" spans="1:20" ht="15">
      <c r="A158" t="s">
        <v>188</v>
      </c>
      <c r="R158" s="3"/>
      <c r="S158" s="3"/>
      <c r="T158" s="3"/>
    </row>
    <row r="159" spans="2:20" ht="15">
      <c r="B159" t="s">
        <v>173</v>
      </c>
      <c r="F159">
        <f>BloombergCap(D24,C99,F99,D25,(J29-J28)/360,(J31-J29)/360,D31)</f>
        <v>5328.249443837514</v>
      </c>
      <c r="R159" s="3"/>
      <c r="S159" s="3"/>
      <c r="T159" s="3"/>
    </row>
    <row r="160" spans="2:20" ht="15">
      <c r="B160" t="s">
        <v>174</v>
      </c>
      <c r="F160">
        <v>0.0001</v>
      </c>
      <c r="R160" s="3"/>
      <c r="S160" s="3"/>
      <c r="T160" s="3"/>
    </row>
    <row r="161" spans="2:20" ht="15">
      <c r="B161" t="s">
        <v>176</v>
      </c>
      <c r="F161">
        <f>BloombergCap(D24+F160,C99,F99,D25,(J29-J28)/360,(J31-J29)/360,D31)</f>
        <v>5463.686053174532</v>
      </c>
      <c r="R161" s="3"/>
      <c r="S161" s="3"/>
      <c r="T161" s="3"/>
    </row>
    <row r="162" spans="18:20" ht="15">
      <c r="R162" s="3"/>
      <c r="S162" s="3"/>
      <c r="T162" s="3"/>
    </row>
    <row r="163" spans="2:20" ht="15">
      <c r="B163" t="s">
        <v>189</v>
      </c>
      <c r="D163" t="s">
        <v>194</v>
      </c>
      <c r="E163">
        <f>F99</f>
        <v>0.95307</v>
      </c>
      <c r="R163" s="3"/>
      <c r="S163" s="3"/>
      <c r="T163" s="3"/>
    </row>
    <row r="164" spans="4:20" ht="15">
      <c r="D164" t="s">
        <v>190</v>
      </c>
      <c r="E164">
        <f>(J29-J28)/360</f>
        <v>0.7555555555555555</v>
      </c>
      <c r="G164" s="3"/>
      <c r="H164" s="3"/>
      <c r="I164" s="3"/>
      <c r="J164" s="3"/>
      <c r="K164" s="3"/>
      <c r="L164" s="3"/>
      <c r="M164" s="3"/>
      <c r="N164" s="3"/>
      <c r="O164" s="3"/>
      <c r="P164" s="3"/>
      <c r="Q164" s="3"/>
      <c r="R164" s="3"/>
      <c r="S164" s="3"/>
      <c r="T164" s="3"/>
    </row>
    <row r="165" spans="4:20" ht="15">
      <c r="D165" s="10" t="s">
        <v>191</v>
      </c>
      <c r="E165">
        <f>-LN(E163)/E164</f>
        <v>0.06361798998889358</v>
      </c>
      <c r="G165" s="3"/>
      <c r="H165" s="3"/>
      <c r="I165" s="3"/>
      <c r="J165" s="3"/>
      <c r="K165" s="3"/>
      <c r="L165" s="3"/>
      <c r="M165" s="3"/>
      <c r="N165" s="3"/>
      <c r="O165" s="3"/>
      <c r="P165" s="3"/>
      <c r="Q165" s="3"/>
      <c r="R165" s="3"/>
      <c r="S165" s="3"/>
      <c r="T165" s="3"/>
    </row>
    <row r="166" spans="4:20" ht="15">
      <c r="D166" t="s">
        <v>192</v>
      </c>
      <c r="E166">
        <f>E165+F160</f>
        <v>0.06371798998889358</v>
      </c>
      <c r="G166" s="3"/>
      <c r="H166" s="3"/>
      <c r="I166" s="3"/>
      <c r="J166" s="3"/>
      <c r="K166" s="3"/>
      <c r="L166" s="3"/>
      <c r="M166" s="3"/>
      <c r="N166" s="3"/>
      <c r="O166" s="3"/>
      <c r="P166" s="3"/>
      <c r="Q166" s="3"/>
      <c r="R166" s="3"/>
      <c r="S166" s="3"/>
      <c r="T166" s="3"/>
    </row>
    <row r="167" spans="4:17" ht="15">
      <c r="D167" t="s">
        <v>193</v>
      </c>
      <c r="E167">
        <f>EXP(-E166*E164)</f>
        <v>0.9529979929869659</v>
      </c>
      <c r="G167" s="3"/>
      <c r="H167" s="3"/>
      <c r="I167" s="3"/>
      <c r="J167" s="3"/>
      <c r="K167" s="3"/>
      <c r="L167" s="3"/>
      <c r="M167" s="3"/>
      <c r="N167" s="3"/>
      <c r="O167" s="3"/>
      <c r="P167" s="3"/>
      <c r="Q167" s="3"/>
    </row>
    <row r="168" spans="7:17" ht="15">
      <c r="G168" s="3"/>
      <c r="H168" s="3"/>
      <c r="I168" s="3"/>
      <c r="J168" s="3"/>
      <c r="K168" s="3"/>
      <c r="L168" s="3"/>
      <c r="M168" s="3"/>
      <c r="N168" s="3"/>
      <c r="O168" s="3"/>
      <c r="P168" s="3"/>
      <c r="Q168" s="3"/>
    </row>
    <row r="169" spans="5:17" ht="15">
      <c r="E169">
        <f>BloombergCap(D24+F60,C99,E167,D25,(J29-J28)/360,(J31-J29)/360,D31)</f>
        <v>5327.846880198798</v>
      </c>
      <c r="G169" s="3"/>
      <c r="H169" s="3"/>
      <c r="I169" s="3"/>
      <c r="J169" s="3"/>
      <c r="K169" s="3"/>
      <c r="L169" s="3"/>
      <c r="M169" s="3"/>
      <c r="N169" s="3"/>
      <c r="O169" s="3"/>
      <c r="P169" s="3"/>
      <c r="Q169" s="3"/>
    </row>
    <row r="170" spans="7:17" ht="15">
      <c r="G170" s="3"/>
      <c r="H170" s="3"/>
      <c r="I170" s="3"/>
      <c r="J170" s="3"/>
      <c r="K170" s="3"/>
      <c r="L170" s="3"/>
      <c r="M170" s="3"/>
      <c r="N170" s="3"/>
      <c r="O170" s="3"/>
      <c r="P170" s="3"/>
      <c r="Q170" s="3"/>
    </row>
    <row r="171" spans="4:17" ht="15">
      <c r="D171" t="s">
        <v>188</v>
      </c>
      <c r="E171">
        <f>E169-F159</f>
        <v>-0.4025636387159466</v>
      </c>
      <c r="G171" s="3"/>
      <c r="H171" s="3"/>
      <c r="I171" s="3"/>
      <c r="J171" s="3"/>
      <c r="K171" s="3"/>
      <c r="L171" s="3"/>
      <c r="M171" s="3"/>
      <c r="N171" s="3"/>
      <c r="O171" s="3"/>
      <c r="P171" s="3"/>
      <c r="Q171" s="3"/>
    </row>
    <row r="172" spans="7:17" ht="15">
      <c r="G172" s="3"/>
      <c r="H172" s="3"/>
      <c r="I172" s="3"/>
      <c r="J172" s="3"/>
      <c r="K172" s="3"/>
      <c r="L172" s="3"/>
      <c r="M172" s="3"/>
      <c r="N172" s="3"/>
      <c r="O172" s="3"/>
      <c r="P172" s="3"/>
      <c r="Q172" s="3"/>
    </row>
    <row r="173" spans="7:17" ht="15">
      <c r="G173" s="3"/>
      <c r="H173" s="3"/>
      <c r="I173" s="3"/>
      <c r="J173" s="3"/>
      <c r="K173" s="3"/>
      <c r="L173" s="3"/>
      <c r="M173" s="3"/>
      <c r="N173" s="3"/>
      <c r="O173" s="3"/>
      <c r="P173" s="3"/>
      <c r="Q173" s="3"/>
    </row>
    <row r="174" ht="15">
      <c r="H174" s="3"/>
    </row>
    <row r="176" spans="1:8" ht="15">
      <c r="A176" t="s">
        <v>196</v>
      </c>
      <c r="H176" s="3"/>
    </row>
    <row r="177" spans="2:8" ht="15">
      <c r="B177" t="s">
        <v>173</v>
      </c>
      <c r="F177">
        <f>BloombergCap(D24,C99,F99,D25,(J29-J28)/360,(J31-J29)/360,D31)</f>
        <v>5328.249443837514</v>
      </c>
      <c r="H177" s="3"/>
    </row>
    <row r="178" spans="2:6" ht="12.75">
      <c r="B178" t="s">
        <v>195</v>
      </c>
      <c r="F178">
        <v>1E-09</v>
      </c>
    </row>
    <row r="179" spans="2:6" ht="12.75">
      <c r="B179" t="s">
        <v>176</v>
      </c>
      <c r="F179">
        <f>BloombergCap(D24,C99,F99,D25+F178,(J29-J28)/360,(J31-J29)/360,D31)</f>
        <v>5328.249483800936</v>
      </c>
    </row>
    <row r="180" spans="2:6" ht="12.75">
      <c r="B180" t="s">
        <v>177</v>
      </c>
      <c r="F180">
        <f>F179-F177</f>
        <v>3.9963421841093805E-05</v>
      </c>
    </row>
    <row r="181" spans="2:6" ht="12.75">
      <c r="B181" t="s">
        <v>178</v>
      </c>
      <c r="F181">
        <f>F180/F178</f>
        <v>39963.421841093805</v>
      </c>
    </row>
    <row r="182" spans="2:8" ht="15">
      <c r="B182" t="s">
        <v>184</v>
      </c>
      <c r="F182">
        <f>F181/(D31*((J31-J29)/360)*F99)</f>
        <v>0.016588189056133778</v>
      </c>
      <c r="H182" s="3"/>
    </row>
    <row r="183" ht="15">
      <c r="H183" s="3"/>
    </row>
    <row r="184" ht="15">
      <c r="H184" s="3"/>
    </row>
  </sheetData>
  <sheetProtection/>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codeName="Sheet2"/>
  <dimension ref="A1:U74"/>
  <sheetViews>
    <sheetView zoomScale="133" zoomScaleNormal="133" zoomScalePageLayoutView="0" workbookViewId="0" topLeftCell="A127">
      <selection activeCell="J22" sqref="J22"/>
    </sheetView>
  </sheetViews>
  <sheetFormatPr defaultColWidth="9.140625" defaultRowHeight="12.75"/>
  <cols>
    <col min="2" max="2" width="11.8515625" style="0" customWidth="1"/>
    <col min="4" max="4" width="13.421875" style="0" bestFit="1" customWidth="1"/>
    <col min="5" max="5" width="12.8515625" style="0" customWidth="1"/>
    <col min="6" max="6" width="16.7109375" style="0" customWidth="1"/>
    <col min="7" max="7" width="10.7109375" style="0" bestFit="1" customWidth="1"/>
    <col min="8" max="8" width="12.8515625" style="0" bestFit="1" customWidth="1"/>
  </cols>
  <sheetData>
    <row r="1" ht="12.75">
      <c r="A1" t="s">
        <v>132</v>
      </c>
    </row>
    <row r="3" ht="12.75">
      <c r="A3" t="s">
        <v>104</v>
      </c>
    </row>
    <row r="5" ht="12.75">
      <c r="B5" t="s">
        <v>105</v>
      </c>
    </row>
    <row r="6" ht="12.75">
      <c r="B6" t="s">
        <v>106</v>
      </c>
    </row>
    <row r="7" ht="12.75">
      <c r="B7" t="s">
        <v>107</v>
      </c>
    </row>
    <row r="8" ht="12.75">
      <c r="C8" t="s">
        <v>110</v>
      </c>
    </row>
    <row r="9" ht="12.75">
      <c r="C9" t="s">
        <v>111</v>
      </c>
    </row>
    <row r="12" ht="12.75">
      <c r="B12" t="s">
        <v>108</v>
      </c>
    </row>
    <row r="13" ht="12.75">
      <c r="B13" t="s">
        <v>109</v>
      </c>
    </row>
    <row r="14" ht="12.75">
      <c r="B14" t="s">
        <v>112</v>
      </c>
    </row>
    <row r="15" ht="12.75">
      <c r="B15" t="s">
        <v>113</v>
      </c>
    </row>
    <row r="17" ht="12.75">
      <c r="A17" t="s">
        <v>0</v>
      </c>
    </row>
    <row r="18" ht="12.75">
      <c r="B18" t="s">
        <v>127</v>
      </c>
    </row>
    <row r="19" spans="3:5" ht="12.75">
      <c r="C19" t="s">
        <v>114</v>
      </c>
      <c r="E19" s="7">
        <v>100000000</v>
      </c>
    </row>
    <row r="20" spans="3:7" ht="12.75">
      <c r="C20" t="s">
        <v>115</v>
      </c>
      <c r="F20">
        <v>0.102</v>
      </c>
      <c r="G20" t="s">
        <v>130</v>
      </c>
    </row>
    <row r="21" spans="3:6" ht="12.75">
      <c r="C21" t="s">
        <v>116</v>
      </c>
      <c r="F21">
        <v>0.1</v>
      </c>
    </row>
    <row r="22" spans="3:6" ht="12.75">
      <c r="C22" t="s">
        <v>117</v>
      </c>
      <c r="F22">
        <v>0.105</v>
      </c>
    </row>
    <row r="23" spans="3:6" ht="12.75">
      <c r="C23" t="s">
        <v>118</v>
      </c>
      <c r="F23">
        <v>0.11</v>
      </c>
    </row>
    <row r="24" spans="3:6" ht="12.75">
      <c r="C24" t="s">
        <v>122</v>
      </c>
      <c r="F24">
        <v>0.08</v>
      </c>
    </row>
    <row r="25" ht="12.75">
      <c r="B25" t="s">
        <v>119</v>
      </c>
    </row>
    <row r="26" ht="12.75">
      <c r="F26" s="1" t="s">
        <v>217</v>
      </c>
    </row>
    <row r="27" ht="12.75">
      <c r="F27" s="1" t="s">
        <v>218</v>
      </c>
    </row>
    <row r="28" spans="2:8" ht="12.75">
      <c r="B28" s="1" t="s">
        <v>120</v>
      </c>
      <c r="C28" s="1" t="s">
        <v>124</v>
      </c>
      <c r="D28" s="1" t="s">
        <v>129</v>
      </c>
      <c r="E28" s="1" t="s">
        <v>125</v>
      </c>
      <c r="F28" s="1" t="s">
        <v>126</v>
      </c>
      <c r="G28" s="1" t="s">
        <v>123</v>
      </c>
      <c r="H28" s="1" t="s">
        <v>121</v>
      </c>
    </row>
    <row r="29" spans="2:8" ht="12.75">
      <c r="B29" s="1">
        <f>3/12</f>
        <v>0.25</v>
      </c>
      <c r="C29" s="1">
        <f>F20</f>
        <v>0.102</v>
      </c>
      <c r="D29" s="1">
        <f>C29</f>
        <v>0.102</v>
      </c>
      <c r="E29" s="1">
        <v>0.5</v>
      </c>
      <c r="F29" s="7">
        <f>E29*$E$19*($F$24-D29)</f>
        <v>-1099999.9999999995</v>
      </c>
      <c r="G29" s="1">
        <f>EXP(-F21*B29)</f>
        <v>0.9753099120283326</v>
      </c>
      <c r="H29" s="7">
        <f>F29*G29</f>
        <v>-1072840.9032311654</v>
      </c>
    </row>
    <row r="30" spans="2:8" ht="12.75">
      <c r="B30" s="1">
        <f>9/12</f>
        <v>0.75</v>
      </c>
      <c r="C30" s="1">
        <f>(F22*B30-F21*B29)/(B30-B29)</f>
        <v>0.1075</v>
      </c>
      <c r="D30" s="1">
        <f>2*(EXP(C30/2)-1)</f>
        <v>0.11044152797137308</v>
      </c>
      <c r="E30" s="1">
        <v>0.5</v>
      </c>
      <c r="F30" s="7">
        <f>E30*$E$19*($F$24-D30)</f>
        <v>-1522076.3985686537</v>
      </c>
      <c r="G30" s="1">
        <f>EXP(-F22*B30)</f>
        <v>0.9242709633048523</v>
      </c>
      <c r="H30" s="7">
        <f>F30*G30</f>
        <v>-1406811.01912863</v>
      </c>
    </row>
    <row r="31" spans="2:8" ht="12.75">
      <c r="B31" s="1">
        <f>15/12</f>
        <v>1.25</v>
      </c>
      <c r="C31" s="1">
        <f>(F23*B31-F22*B30)/(B31-B30)</f>
        <v>0.11750000000000002</v>
      </c>
      <c r="D31" s="1">
        <f>2*(EXP(C31/2)-1)</f>
        <v>0.12102016015287598</v>
      </c>
      <c r="E31" s="1">
        <v>0.5</v>
      </c>
      <c r="F31" s="7">
        <f>E31*$E$19*($F$24-D31)</f>
        <v>-2051008.0076437988</v>
      </c>
      <c r="G31" s="1">
        <f>EXP(-F23*B31)</f>
        <v>0.8715343499971578</v>
      </c>
      <c r="H31" s="7">
        <f>F31*G31</f>
        <v>-1787523.930780804</v>
      </c>
    </row>
    <row r="34" spans="6:8" ht="15">
      <c r="F34" s="9" t="s">
        <v>128</v>
      </c>
      <c r="G34" s="8"/>
      <c r="H34" s="7">
        <f>SUM(H29:H31)</f>
        <v>-4267175.853140599</v>
      </c>
    </row>
    <row r="39" spans="1:21" ht="15">
      <c r="A39" s="9" t="s">
        <v>131</v>
      </c>
      <c r="B39" s="9"/>
      <c r="C39" s="9"/>
      <c r="D39" s="9"/>
      <c r="E39" s="9"/>
      <c r="F39" s="9"/>
      <c r="G39" s="9"/>
      <c r="H39" s="9"/>
      <c r="I39" s="9"/>
      <c r="J39" s="9"/>
      <c r="K39" s="9"/>
      <c r="L39" s="9"/>
      <c r="M39" s="9"/>
      <c r="N39" s="9"/>
      <c r="O39" s="9"/>
      <c r="P39" s="9"/>
      <c r="Q39" s="9"/>
      <c r="R39" s="9"/>
      <c r="S39" s="9"/>
      <c r="T39" s="9"/>
      <c r="U39" s="9"/>
    </row>
    <row r="40" ht="15">
      <c r="U40" s="9"/>
    </row>
    <row r="41" spans="2:21" ht="15">
      <c r="B41" t="s">
        <v>160</v>
      </c>
      <c r="U41" s="9"/>
    </row>
    <row r="42" ht="15">
      <c r="U42" s="9"/>
    </row>
    <row r="43" spans="1:21" ht="15">
      <c r="A43" t="s">
        <v>0</v>
      </c>
      <c r="B43" t="s">
        <v>138</v>
      </c>
      <c r="K43">
        <v>100</v>
      </c>
      <c r="U43" s="9"/>
    </row>
    <row r="44" spans="2:21" ht="15">
      <c r="B44" t="s">
        <v>133</v>
      </c>
      <c r="U44" s="9"/>
    </row>
    <row r="45" spans="3:21" ht="15">
      <c r="C45" t="s">
        <v>134</v>
      </c>
      <c r="I45">
        <v>0.06</v>
      </c>
      <c r="J45" t="s">
        <v>136</v>
      </c>
      <c r="L45">
        <f>2*(EXP(I45/2)-1)</f>
        <v>0.060909067907033876</v>
      </c>
      <c r="M45" t="s">
        <v>137</v>
      </c>
      <c r="U45" s="9"/>
    </row>
    <row r="46" spans="3:21" ht="15">
      <c r="C46" t="s">
        <v>135</v>
      </c>
      <c r="E46">
        <v>0.2</v>
      </c>
      <c r="F46" s="1" t="s">
        <v>148</v>
      </c>
      <c r="G46">
        <v>5</v>
      </c>
      <c r="M46" t="s">
        <v>146</v>
      </c>
      <c r="U46" s="9"/>
    </row>
    <row r="47" spans="2:21" ht="15">
      <c r="B47" t="s">
        <v>141</v>
      </c>
      <c r="U47" s="9"/>
    </row>
    <row r="48" spans="2:21" ht="15">
      <c r="B48" s="1" t="s">
        <v>142</v>
      </c>
      <c r="C48" t="s">
        <v>80</v>
      </c>
      <c r="D48" s="1" t="s">
        <v>143</v>
      </c>
      <c r="E48" t="s">
        <v>144</v>
      </c>
      <c r="O48" t="s">
        <v>162</v>
      </c>
      <c r="U48" s="9"/>
    </row>
    <row r="49" spans="2:21" ht="15">
      <c r="B49" s="1">
        <v>5.5</v>
      </c>
      <c r="C49">
        <f aca="true" t="shared" si="0" ref="C49:C54">EXP(-$I$45*B49)</f>
        <v>0.7189237334319262</v>
      </c>
      <c r="D49" s="1">
        <v>0.5</v>
      </c>
      <c r="E49">
        <f aca="true" t="shared" si="1" ref="E49:E54">D49*C49</f>
        <v>0.3594618667159631</v>
      </c>
      <c r="O49">
        <f aca="true" t="shared" si="2" ref="O49:O54">$K$43*($L$45-$H$58)*E49</f>
        <v>-0.03921484865979554</v>
      </c>
      <c r="U49" s="9"/>
    </row>
    <row r="50" spans="2:21" ht="15">
      <c r="B50" s="1">
        <v>6</v>
      </c>
      <c r="C50">
        <f t="shared" si="0"/>
        <v>0.697676326071031</v>
      </c>
      <c r="D50" s="1">
        <v>0.5</v>
      </c>
      <c r="E50">
        <f t="shared" si="1"/>
        <v>0.3488381630355155</v>
      </c>
      <c r="O50">
        <f t="shared" si="2"/>
        <v>-0.038055874730679284</v>
      </c>
      <c r="U50" s="9"/>
    </row>
    <row r="51" spans="2:21" ht="15">
      <c r="B51" s="1">
        <v>6.5</v>
      </c>
      <c r="C51">
        <f t="shared" si="0"/>
        <v>0.6770568744981647</v>
      </c>
      <c r="D51" s="1">
        <v>0.5</v>
      </c>
      <c r="E51">
        <f t="shared" si="1"/>
        <v>0.3385284372490823</v>
      </c>
      <c r="F51" t="s">
        <v>221</v>
      </c>
      <c r="O51">
        <f t="shared" si="2"/>
        <v>-0.03693115365766925</v>
      </c>
      <c r="U51" s="9"/>
    </row>
    <row r="52" spans="2:21" ht="15">
      <c r="B52" s="1">
        <v>7</v>
      </c>
      <c r="C52">
        <f t="shared" si="0"/>
        <v>0.6570468198150567</v>
      </c>
      <c r="D52" s="1">
        <v>0.5</v>
      </c>
      <c r="E52">
        <f t="shared" si="1"/>
        <v>0.3285234099075284</v>
      </c>
      <c r="F52" t="s">
        <v>222</v>
      </c>
      <c r="O52">
        <f t="shared" si="2"/>
        <v>-0.035839673115878774</v>
      </c>
      <c r="U52" s="9"/>
    </row>
    <row r="53" spans="2:21" ht="15">
      <c r="B53" s="1">
        <v>7.5</v>
      </c>
      <c r="C53">
        <f t="shared" si="0"/>
        <v>0.6376281516217733</v>
      </c>
      <c r="D53" s="1">
        <v>0.5</v>
      </c>
      <c r="E53">
        <f t="shared" si="1"/>
        <v>0.31881407581088667</v>
      </c>
      <c r="O53">
        <f t="shared" si="2"/>
        <v>-0.0347804506991431</v>
      </c>
      <c r="U53" s="9"/>
    </row>
    <row r="54" spans="2:21" ht="15">
      <c r="B54" s="1">
        <v>8</v>
      </c>
      <c r="C54">
        <f t="shared" si="0"/>
        <v>0.6187833918061408</v>
      </c>
      <c r="D54" s="1">
        <v>0.5</v>
      </c>
      <c r="E54">
        <f t="shared" si="1"/>
        <v>0.3093916959030704</v>
      </c>
      <c r="O54">
        <f t="shared" si="2"/>
        <v>-0.033752533035787506</v>
      </c>
      <c r="U54" s="9"/>
    </row>
    <row r="55" ht="15">
      <c r="U55" s="9"/>
    </row>
    <row r="56" spans="5:21" ht="15">
      <c r="E56">
        <f>SUM(E49:E55)</f>
        <v>2.0035576486220465</v>
      </c>
      <c r="F56" s="9" t="s">
        <v>145</v>
      </c>
      <c r="G56" s="9"/>
      <c r="H56" s="9"/>
      <c r="L56" s="9" t="s">
        <v>163</v>
      </c>
      <c r="M56" s="9"/>
      <c r="N56" s="9"/>
      <c r="O56">
        <f>SUM(O49:O55)</f>
        <v>-0.21857453389895345</v>
      </c>
      <c r="U56" s="9"/>
    </row>
    <row r="57" ht="15">
      <c r="U57" s="9"/>
    </row>
    <row r="58" spans="2:21" ht="15">
      <c r="B58" t="s">
        <v>139</v>
      </c>
      <c r="G58" t="s">
        <v>140</v>
      </c>
      <c r="H58">
        <v>0.062</v>
      </c>
      <c r="I58" t="s">
        <v>152</v>
      </c>
      <c r="U58" s="9"/>
    </row>
    <row r="59" ht="15">
      <c r="U59" s="9"/>
    </row>
    <row r="60" spans="3:21" ht="15">
      <c r="C60" s="1" t="s">
        <v>147</v>
      </c>
      <c r="D60">
        <f>(LN(L45/H58)+0.5*(E46^2*G46))/(SQRT(G46)*E46)</f>
        <v>0.18391139653037142</v>
      </c>
      <c r="E60" s="1" t="s">
        <v>149</v>
      </c>
      <c r="F60">
        <f>NORMSDIST(D60)</f>
        <v>0.5729585179147215</v>
      </c>
      <c r="G60" s="1" t="s">
        <v>153</v>
      </c>
      <c r="H60">
        <f>L45*F60</f>
        <v>0.03489836927558126</v>
      </c>
      <c r="I60" t="s">
        <v>223</v>
      </c>
      <c r="U60" s="9"/>
    </row>
    <row r="61" spans="3:21" ht="15">
      <c r="C61" s="1" t="s">
        <v>150</v>
      </c>
      <c r="D61">
        <f>(LN(L45/H58)-0.5*(E46^2*G46))/(SQRT(G46)*E46)</f>
        <v>-0.26330219896958657</v>
      </c>
      <c r="E61" s="1" t="s">
        <v>151</v>
      </c>
      <c r="F61">
        <f>NORMSDIST(D61)</f>
        <v>0.3961588324705103</v>
      </c>
      <c r="G61" s="1" t="s">
        <v>154</v>
      </c>
      <c r="H61">
        <f>H58*F61</f>
        <v>0.02456184761317164</v>
      </c>
      <c r="I61" t="s">
        <v>224</v>
      </c>
      <c r="U61" s="9"/>
    </row>
    <row r="62" ht="15">
      <c r="U62" s="9"/>
    </row>
    <row r="63" spans="4:21" ht="15">
      <c r="D63" s="9" t="s">
        <v>155</v>
      </c>
      <c r="E63" s="9"/>
      <c r="F63">
        <f>K43*E56*(H60-H61)</f>
        <v>2.0709817036868263</v>
      </c>
      <c r="U63" s="9"/>
    </row>
    <row r="64" ht="15">
      <c r="U64" s="9"/>
    </row>
    <row r="65" spans="2:21" ht="15">
      <c r="B65" t="s">
        <v>161</v>
      </c>
      <c r="U65" s="9"/>
    </row>
    <row r="66" ht="15">
      <c r="U66" s="9"/>
    </row>
    <row r="67" spans="5:21" ht="15">
      <c r="E67" s="1" t="s">
        <v>156</v>
      </c>
      <c r="F67">
        <f>1-F61</f>
        <v>0.6038411675294897</v>
      </c>
      <c r="G67" s="1" t="s">
        <v>158</v>
      </c>
      <c r="H67">
        <f>H58*F67</f>
        <v>0.03743815238682836</v>
      </c>
      <c r="U67" s="9"/>
    </row>
    <row r="68" spans="5:21" ht="15">
      <c r="E68" s="1" t="s">
        <v>157</v>
      </c>
      <c r="F68">
        <f>1-F60</f>
        <v>0.4270414820852785</v>
      </c>
      <c r="G68" s="1" t="s">
        <v>159</v>
      </c>
      <c r="H68">
        <f>L45*F68</f>
        <v>0.026010698631452618</v>
      </c>
      <c r="U68" s="9"/>
    </row>
    <row r="69" ht="15">
      <c r="U69" s="9"/>
    </row>
    <row r="70" spans="4:21" ht="15">
      <c r="D70" s="9" t="s">
        <v>155</v>
      </c>
      <c r="E70" s="9"/>
      <c r="F70">
        <f>K43*E56*(H67-H68)</f>
        <v>2.2895562375857805</v>
      </c>
      <c r="U70" s="9"/>
    </row>
    <row r="71" ht="15">
      <c r="U71" s="9"/>
    </row>
    <row r="72" ht="15">
      <c r="U72" s="9"/>
    </row>
    <row r="73" spans="6:21" ht="15">
      <c r="F73">
        <f>F63-F70</f>
        <v>-0.2185745338989542</v>
      </c>
      <c r="G73" s="9" t="s">
        <v>164</v>
      </c>
      <c r="H73" s="9"/>
      <c r="I73" s="9"/>
      <c r="J73" s="9"/>
      <c r="K73" s="9"/>
      <c r="L73" s="9"/>
      <c r="M73" s="9"/>
      <c r="N73" s="9"/>
      <c r="O73" s="9"/>
      <c r="P73" s="9"/>
      <c r="Q73" s="9"/>
      <c r="R73" s="9"/>
      <c r="S73" s="9"/>
      <c r="T73" s="9"/>
      <c r="U73" s="9"/>
    </row>
    <row r="74" ht="12.75">
      <c r="G74" t="s">
        <v>165</v>
      </c>
    </row>
  </sheetData>
  <sheetProtection/>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Arizona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 Lamoureux</dc:creator>
  <cp:keywords/>
  <dc:description/>
  <cp:lastModifiedBy>Christopher Lamoureux</cp:lastModifiedBy>
  <dcterms:created xsi:type="dcterms:W3CDTF">2003-02-09T18:28:45Z</dcterms:created>
  <dcterms:modified xsi:type="dcterms:W3CDTF">2018-07-26T00:45:33Z</dcterms:modified>
  <cp:category/>
  <cp:version/>
  <cp:contentType/>
  <cp:contentStatus/>
</cp:coreProperties>
</file>