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mlap/classes/510/2021/510B/ClassSS/"/>
    </mc:Choice>
  </mc:AlternateContent>
  <xr:revisionPtr revIDLastSave="0" documentId="13_ncr:1_{7478C7A7-A878-2740-8A3A-5AF6144DAA57}" xr6:coauthVersionLast="46" xr6:coauthVersionMax="46" xr10:uidLastSave="{00000000-0000-0000-0000-000000000000}"/>
  <bookViews>
    <workbookView xWindow="600" yWindow="740" windowWidth="28040" windowHeight="17440" xr2:uid="{AEC5D958-FBF5-4843-938C-564CEBBB6D6B}"/>
  </bookViews>
  <sheets>
    <sheet name="LamWay" sheetId="1" r:id="rId1"/>
    <sheet name="IncStmtApp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2" l="1"/>
  <c r="H71" i="2"/>
  <c r="I71" i="2"/>
  <c r="J71" i="2"/>
  <c r="K71" i="2"/>
  <c r="L71" i="2"/>
  <c r="M71" i="2"/>
  <c r="N71" i="2"/>
  <c r="O71" i="2"/>
  <c r="P71" i="2"/>
  <c r="Q71" i="2"/>
  <c r="F71" i="2"/>
  <c r="G67" i="2"/>
  <c r="H67" i="2"/>
  <c r="I67" i="2"/>
  <c r="J67" i="2"/>
  <c r="K67" i="2"/>
  <c r="L67" i="2"/>
  <c r="M67" i="2"/>
  <c r="N67" i="2"/>
  <c r="O67" i="2"/>
  <c r="P67" i="2"/>
  <c r="Q67" i="2"/>
  <c r="F67" i="2"/>
  <c r="G65" i="2"/>
  <c r="H65" i="2"/>
  <c r="I65" i="2"/>
  <c r="J65" i="2"/>
  <c r="K65" i="2"/>
  <c r="L65" i="2"/>
  <c r="M65" i="2"/>
  <c r="N65" i="2"/>
  <c r="O65" i="2"/>
  <c r="P65" i="2"/>
  <c r="Q65" i="2"/>
  <c r="F65" i="2"/>
  <c r="G63" i="2"/>
  <c r="H63" i="2"/>
  <c r="I63" i="2"/>
  <c r="J63" i="2"/>
  <c r="K63" i="2"/>
  <c r="L63" i="2"/>
  <c r="M63" i="2"/>
  <c r="N63" i="2"/>
  <c r="O63" i="2"/>
  <c r="P63" i="2"/>
  <c r="Q63" i="2"/>
  <c r="G57" i="2"/>
  <c r="H57" i="2"/>
  <c r="I57" i="2"/>
  <c r="J57" i="2"/>
  <c r="K57" i="2"/>
  <c r="L57" i="2"/>
  <c r="M57" i="2"/>
  <c r="F57" i="2"/>
  <c r="Q69" i="2"/>
  <c r="C50" i="2"/>
  <c r="D50" i="2" s="1"/>
  <c r="D71" i="2" s="1"/>
  <c r="D44" i="2"/>
  <c r="D43" i="2"/>
  <c r="D45" i="2" s="1"/>
  <c r="F54" i="2" s="1"/>
  <c r="G54" i="2" s="1"/>
  <c r="H54" i="2" s="1"/>
  <c r="I54" i="2" s="1"/>
  <c r="J54" i="2" s="1"/>
  <c r="K54" i="2" s="1"/>
  <c r="L54" i="2" s="1"/>
  <c r="M54" i="2" s="1"/>
  <c r="N54" i="2" s="1"/>
  <c r="O54" i="2" s="1"/>
  <c r="P54" i="2" s="1"/>
  <c r="Q54" i="2" s="1"/>
  <c r="H40" i="2"/>
  <c r="C51" i="2" s="1"/>
  <c r="F25" i="2"/>
  <c r="F26" i="2" s="1"/>
  <c r="F24" i="2"/>
  <c r="F22" i="2"/>
  <c r="D22" i="2"/>
  <c r="F7" i="2"/>
  <c r="F42" i="2" s="1"/>
  <c r="D53" i="2" s="1"/>
  <c r="E53" i="2" s="1"/>
  <c r="F53" i="2" s="1"/>
  <c r="F22" i="1"/>
  <c r="C67" i="1"/>
  <c r="F42" i="1"/>
  <c r="F7" i="1"/>
  <c r="G59" i="1"/>
  <c r="H59" i="1"/>
  <c r="I59" i="1"/>
  <c r="J59" i="1"/>
  <c r="K59" i="1"/>
  <c r="L59" i="1"/>
  <c r="M59" i="1"/>
  <c r="F59" i="1"/>
  <c r="D44" i="1"/>
  <c r="D45" i="1" s="1"/>
  <c r="F54" i="1" s="1"/>
  <c r="G54" i="1" s="1"/>
  <c r="H54" i="1" s="1"/>
  <c r="I54" i="1" s="1"/>
  <c r="J54" i="1" s="1"/>
  <c r="K54" i="1" s="1"/>
  <c r="L54" i="1" s="1"/>
  <c r="M54" i="1" s="1"/>
  <c r="N54" i="1" s="1"/>
  <c r="O54" i="1" s="1"/>
  <c r="P54" i="1" s="1"/>
  <c r="Q54" i="1" s="1"/>
  <c r="D43" i="1"/>
  <c r="D53" i="1"/>
  <c r="E53" i="1" s="1"/>
  <c r="F53" i="1" s="1"/>
  <c r="F25" i="1"/>
  <c r="F24" i="1"/>
  <c r="D22" i="1"/>
  <c r="Q61" i="1"/>
  <c r="C50" i="1"/>
  <c r="D50" i="1" s="1"/>
  <c r="D63" i="1" s="1"/>
  <c r="H40" i="1"/>
  <c r="C51" i="1" s="1"/>
  <c r="Q51" i="1" s="1"/>
  <c r="Q51" i="2" l="1"/>
  <c r="C71" i="2"/>
  <c r="G53" i="2"/>
  <c r="F55" i="2"/>
  <c r="F27" i="2"/>
  <c r="F28" i="2" s="1"/>
  <c r="D33" i="2" s="1"/>
  <c r="E33" i="2" s="1"/>
  <c r="H22" i="2"/>
  <c r="D32" i="2" s="1"/>
  <c r="E32" i="2" s="1"/>
  <c r="F26" i="1"/>
  <c r="F27" i="1" s="1"/>
  <c r="H22" i="1"/>
  <c r="D32" i="1" s="1"/>
  <c r="E32" i="1" s="1"/>
  <c r="C63" i="1"/>
  <c r="G53" i="1"/>
  <c r="F55" i="1"/>
  <c r="F59" i="2" l="1"/>
  <c r="E35" i="2"/>
  <c r="Q72" i="2" s="1"/>
  <c r="G72" i="2"/>
  <c r="O72" i="2"/>
  <c r="N72" i="2"/>
  <c r="F72" i="2"/>
  <c r="F73" i="2" s="1"/>
  <c r="E72" i="2"/>
  <c r="E73" i="2" s="1"/>
  <c r="C72" i="2"/>
  <c r="C73" i="2" s="1"/>
  <c r="M72" i="2"/>
  <c r="K72" i="2"/>
  <c r="H72" i="2"/>
  <c r="G55" i="2"/>
  <c r="H53" i="2"/>
  <c r="F57" i="1"/>
  <c r="F63" i="1" s="1"/>
  <c r="F28" i="1"/>
  <c r="D33" i="1" s="1"/>
  <c r="E33" i="1" s="1"/>
  <c r="E35" i="1" s="1"/>
  <c r="H53" i="1"/>
  <c r="G55" i="1"/>
  <c r="I72" i="2" l="1"/>
  <c r="D72" i="2"/>
  <c r="D73" i="2" s="1"/>
  <c r="J72" i="2"/>
  <c r="P72" i="2"/>
  <c r="L72" i="2"/>
  <c r="G59" i="2"/>
  <c r="G61" i="2" s="1"/>
  <c r="F61" i="2"/>
  <c r="F63" i="2" s="1"/>
  <c r="G73" i="2"/>
  <c r="I53" i="2"/>
  <c r="H55" i="2"/>
  <c r="G57" i="1"/>
  <c r="G63" i="1" s="1"/>
  <c r="D64" i="1"/>
  <c r="D65" i="1" s="1"/>
  <c r="J64" i="1"/>
  <c r="N64" i="1"/>
  <c r="E64" i="1"/>
  <c r="E65" i="1" s="1"/>
  <c r="F64" i="1"/>
  <c r="F65" i="1" s="1"/>
  <c r="H64" i="1"/>
  <c r="K64" i="1"/>
  <c r="P64" i="1"/>
  <c r="C64" i="1"/>
  <c r="C65" i="1" s="1"/>
  <c r="G64" i="1"/>
  <c r="M64" i="1"/>
  <c r="Q64" i="1"/>
  <c r="I64" i="1"/>
  <c r="O64" i="1"/>
  <c r="L64" i="1"/>
  <c r="I53" i="1"/>
  <c r="H55" i="1"/>
  <c r="H73" i="2" l="1"/>
  <c r="H59" i="2"/>
  <c r="H61" i="2" s="1"/>
  <c r="J53" i="2"/>
  <c r="I55" i="2"/>
  <c r="G65" i="1"/>
  <c r="H57" i="1"/>
  <c r="H63" i="1" s="1"/>
  <c r="H65" i="1" s="1"/>
  <c r="J53" i="1"/>
  <c r="I55" i="1"/>
  <c r="I73" i="2" l="1"/>
  <c r="I59" i="2"/>
  <c r="I61" i="2" s="1"/>
  <c r="J55" i="2"/>
  <c r="K53" i="2"/>
  <c r="I57" i="1"/>
  <c r="I63" i="1" s="1"/>
  <c r="I65" i="1" s="1"/>
  <c r="K53" i="1"/>
  <c r="J55" i="1"/>
  <c r="J73" i="2" l="1"/>
  <c r="J59" i="2"/>
  <c r="J61" i="2" s="1"/>
  <c r="K55" i="2"/>
  <c r="L53" i="2"/>
  <c r="J57" i="1"/>
  <c r="J63" i="1" s="1"/>
  <c r="J65" i="1" s="1"/>
  <c r="L53" i="1"/>
  <c r="K55" i="1"/>
  <c r="K73" i="2" l="1"/>
  <c r="K59" i="2"/>
  <c r="K61" i="2" s="1"/>
  <c r="L55" i="2"/>
  <c r="M53" i="2"/>
  <c r="K57" i="1"/>
  <c r="K63" i="1" s="1"/>
  <c r="K65" i="1" s="1"/>
  <c r="M53" i="1"/>
  <c r="L55" i="1"/>
  <c r="L73" i="2" l="1"/>
  <c r="L59" i="2"/>
  <c r="L61" i="2" s="1"/>
  <c r="N53" i="2"/>
  <c r="M55" i="2"/>
  <c r="L57" i="1"/>
  <c r="L63" i="1" s="1"/>
  <c r="L65" i="1" s="1"/>
  <c r="N53" i="1"/>
  <c r="M55" i="1"/>
  <c r="M73" i="2" l="1"/>
  <c r="M59" i="2"/>
  <c r="M61" i="2" s="1"/>
  <c r="O53" i="2"/>
  <c r="N55" i="2"/>
  <c r="M57" i="1"/>
  <c r="M63" i="1" s="1"/>
  <c r="M65" i="1" s="1"/>
  <c r="O53" i="1"/>
  <c r="N55" i="1"/>
  <c r="N73" i="2" l="1"/>
  <c r="N59" i="2"/>
  <c r="N61" i="2" s="1"/>
  <c r="O55" i="2"/>
  <c r="P53" i="2"/>
  <c r="N57" i="1"/>
  <c r="N63" i="1" s="1"/>
  <c r="N65" i="1" s="1"/>
  <c r="P53" i="1"/>
  <c r="O55" i="1"/>
  <c r="O73" i="2" l="1"/>
  <c r="O59" i="2"/>
  <c r="O61" i="2" s="1"/>
  <c r="P55" i="2"/>
  <c r="Q53" i="2"/>
  <c r="Q55" i="2" s="1"/>
  <c r="O57" i="1"/>
  <c r="O63" i="1" s="1"/>
  <c r="O65" i="1" s="1"/>
  <c r="Q53" i="1"/>
  <c r="Q55" i="1" s="1"/>
  <c r="P55" i="1"/>
  <c r="Q73" i="2" l="1"/>
  <c r="C75" i="2" s="1"/>
  <c r="Q59" i="2"/>
  <c r="Q61" i="2" s="1"/>
  <c r="P73" i="2"/>
  <c r="P59" i="2"/>
  <c r="P61" i="2" s="1"/>
  <c r="P57" i="1"/>
  <c r="P63" i="1" s="1"/>
  <c r="P65" i="1" s="1"/>
  <c r="Q57" i="1"/>
  <c r="Q63" i="1" s="1"/>
  <c r="Q65" i="1" s="1"/>
</calcChain>
</file>

<file path=xl/sharedStrings.xml><?xml version="1.0" encoding="utf-8"?>
<sst xmlns="http://schemas.openxmlformats.org/spreadsheetml/2006/main" count="156" uniqueCount="80">
  <si>
    <t>Step 1:</t>
  </si>
  <si>
    <t>Compute the appropriate discount factor to evaluate the expected future cash flows.</t>
  </si>
  <si>
    <t>wacc:</t>
  </si>
  <si>
    <t>cost of equity: Use the CAPM: rf  + beta(E(Rm) - rf)</t>
  </si>
  <si>
    <t xml:space="preserve"> +</t>
  </si>
  <si>
    <t xml:space="preserve"> =</t>
  </si>
  <si>
    <t>cost of debt:</t>
  </si>
  <si>
    <t xml:space="preserve">  MMM 30-year bond ytm:</t>
  </si>
  <si>
    <t>Credit Spread:</t>
  </si>
  <si>
    <t>risk premium:</t>
  </si>
  <si>
    <t>Pre-tax cost of debt:</t>
  </si>
  <si>
    <t>After-tax cost of debt:</t>
  </si>
  <si>
    <t>Capital Structure:</t>
  </si>
  <si>
    <t>% of Capital</t>
  </si>
  <si>
    <t>Equity</t>
  </si>
  <si>
    <t>Debt</t>
  </si>
  <si>
    <t>Cost</t>
  </si>
  <si>
    <t>Product</t>
  </si>
  <si>
    <t xml:space="preserve">  This is the appropriate discount factor to use to evaluate the expected future cash flows from our project.</t>
  </si>
  <si>
    <t>If we undertake a project with a positive Net Present Value (of all incremental cash flows), that will increase the value of the firm.</t>
  </si>
  <si>
    <t>Step 2:</t>
  </si>
  <si>
    <t>Build a time line of all incremental cash flows.</t>
  </si>
  <si>
    <t>Time (Years):</t>
  </si>
  <si>
    <t>Year of plant operation:</t>
  </si>
  <si>
    <t>Total construction cost:</t>
  </si>
  <si>
    <t>Land:</t>
  </si>
  <si>
    <t xml:space="preserve"> acres</t>
  </si>
  <si>
    <t xml:space="preserve"> value per acre</t>
  </si>
  <si>
    <t>Construction:</t>
  </si>
  <si>
    <t>Tons of chemicals produced:</t>
  </si>
  <si>
    <t>growing at</t>
  </si>
  <si>
    <t xml:space="preserve"> per year</t>
  </si>
  <si>
    <t>Tons of Chemicals produced:</t>
  </si>
  <si>
    <t>Savings per ton of making vs buying:</t>
  </si>
  <si>
    <t>Savings per ton:</t>
  </si>
  <si>
    <t>cost of buying:</t>
  </si>
  <si>
    <t xml:space="preserve">              making:</t>
  </si>
  <si>
    <t>Savings:</t>
  </si>
  <si>
    <t xml:space="preserve"> per ton.</t>
  </si>
  <si>
    <t>Total annual savings: (Reduction in COGS)</t>
  </si>
  <si>
    <t>After-tax savings from reduced costs:</t>
  </si>
  <si>
    <t>MACRS:</t>
  </si>
  <si>
    <t>Year:</t>
  </si>
  <si>
    <t>Deprec Rate:</t>
  </si>
  <si>
    <t>Depreciation Tax savings:</t>
  </si>
  <si>
    <t>Tied-up Inventory:</t>
  </si>
  <si>
    <t xml:space="preserve"> (Non taxable salvage)</t>
  </si>
  <si>
    <t>Total Incremental Cash flow:</t>
  </si>
  <si>
    <t>Disct factor:</t>
  </si>
  <si>
    <t>PV:</t>
  </si>
  <si>
    <t>NPV:</t>
  </si>
  <si>
    <t>Our analysis tells us that undertaking this project will increase 3M's value by $176 million.</t>
  </si>
  <si>
    <t>We recommend building the plant.</t>
  </si>
  <si>
    <t>Step 3.</t>
  </si>
  <si>
    <t>Sensitivity analysis -- identification of key value drivers.</t>
  </si>
  <si>
    <t>What if our beta were 1?</t>
  </si>
  <si>
    <t>Base Case:</t>
  </si>
  <si>
    <t xml:space="preserve">  Still strong buy case.</t>
  </si>
  <si>
    <t>Growth in chemical usage.  We have at 10% over 13 years.</t>
  </si>
  <si>
    <t xml:space="preserve">  What if this were 0?</t>
  </si>
  <si>
    <t>This growth rate is a key value drive of the project.</t>
  </si>
  <si>
    <t>Key assumptions and inputs to our model:</t>
  </si>
  <si>
    <t>Base Case</t>
  </si>
  <si>
    <t>Rf</t>
  </si>
  <si>
    <t>E(Rm)</t>
  </si>
  <si>
    <t>beta</t>
  </si>
  <si>
    <t>credit spread</t>
  </si>
  <si>
    <t>revenue growth</t>
  </si>
  <si>
    <t>tax rate</t>
  </si>
  <si>
    <t>30-yr bond ytm</t>
  </si>
  <si>
    <t>Current cost of inputs (per ton):</t>
  </si>
  <si>
    <t xml:space="preserve">        Engineers' estimates of cost (if we mfgr):</t>
  </si>
  <si>
    <t>Modifications to</t>
  </si>
  <si>
    <t>Increase in EBITDA</t>
  </si>
  <si>
    <t>Incremental Depreciation Expense:</t>
  </si>
  <si>
    <t>Incremental effect on Operating Earnings:</t>
  </si>
  <si>
    <t>Incremental Income Tax expense:</t>
  </si>
  <si>
    <t>Effect on after-tax net income from ops:</t>
  </si>
  <si>
    <t>Add back depreciation (non-cash expense):</t>
  </si>
  <si>
    <t>Net cash flow: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</si>
</sst>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_(* #,##0.0_);_(* \(#,##0.0\);_(* &quot;-&quot;?_);_(@_)"/>
    <numFmt numFmtId="167" formatCode="_(* #,##0_);_(* \(#,##0\);_(* &quot;-&quot;?_);_(@_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quotePrefix="1" applyAlignment="1">
      <alignment horizontal="center"/>
    </xf>
    <xf numFmtId="164" fontId="0" fillId="0" borderId="0" xfId="0" applyNumberFormat="1"/>
    <xf numFmtId="0" fontId="2" fillId="0" borderId="0" xfId="0" applyFont="1"/>
    <xf numFmtId="165" fontId="0" fillId="0" borderId="0" xfId="1" applyNumberFormat="1" applyFont="1"/>
    <xf numFmtId="166" fontId="0" fillId="0" borderId="0" xfId="0" applyNumberFormat="1"/>
    <xf numFmtId="165" fontId="0" fillId="0" borderId="0" xfId="0" applyNumberFormat="1"/>
    <xf numFmtId="165" fontId="2" fillId="0" borderId="0" xfId="1" applyNumberFormat="1" applyFont="1"/>
    <xf numFmtId="167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70288-26DC-4040-AD56-A4644F2659D7}">
  <dimension ref="A1:R79"/>
  <sheetViews>
    <sheetView tabSelected="1" topLeftCell="A52" zoomScale="150" zoomScaleNormal="150" workbookViewId="0">
      <selection activeCell="H22" sqref="H22"/>
    </sheetView>
  </sheetViews>
  <sheetFormatPr baseColWidth="10" defaultRowHeight="16" x14ac:dyDescent="0.2"/>
  <cols>
    <col min="2" max="2" width="14" customWidth="1"/>
    <col min="3" max="3" width="14" bestFit="1" customWidth="1"/>
    <col min="4" max="4" width="15" bestFit="1" customWidth="1"/>
    <col min="6" max="6" width="14" bestFit="1" customWidth="1"/>
    <col min="7" max="7" width="18.1640625" bestFit="1" customWidth="1"/>
    <col min="8" max="15" width="13" bestFit="1" customWidth="1"/>
    <col min="16" max="16" width="14.5" customWidth="1"/>
    <col min="17" max="17" width="13.1640625" customWidth="1"/>
  </cols>
  <sheetData>
    <row r="1" spans="1:6" x14ac:dyDescent="0.2">
      <c r="A1" t="s">
        <v>61</v>
      </c>
      <c r="F1" t="s">
        <v>72</v>
      </c>
    </row>
    <row r="2" spans="1:6" x14ac:dyDescent="0.2">
      <c r="E2" s="1" t="s">
        <v>62</v>
      </c>
      <c r="F2" s="1" t="s">
        <v>62</v>
      </c>
    </row>
    <row r="3" spans="1:6" x14ac:dyDescent="0.2">
      <c r="D3" t="s">
        <v>63</v>
      </c>
      <c r="E3" s="1">
        <v>4.4999999999999998E-2</v>
      </c>
    </row>
    <row r="4" spans="1:6" x14ac:dyDescent="0.2">
      <c r="D4" t="s">
        <v>64</v>
      </c>
      <c r="E4" s="1">
        <v>0.09</v>
      </c>
    </row>
    <row r="5" spans="1:6" x14ac:dyDescent="0.2">
      <c r="D5" t="s">
        <v>65</v>
      </c>
      <c r="E5" s="1">
        <v>0.85</v>
      </c>
      <c r="F5">
        <v>0</v>
      </c>
    </row>
    <row r="6" spans="1:6" x14ac:dyDescent="0.2">
      <c r="D6" t="s">
        <v>66</v>
      </c>
      <c r="E6" s="1">
        <v>8.0000000000000002E-3</v>
      </c>
    </row>
    <row r="7" spans="1:6" x14ac:dyDescent="0.2">
      <c r="D7" t="s">
        <v>67</v>
      </c>
      <c r="E7" s="1">
        <v>0.1</v>
      </c>
      <c r="F7">
        <f>-0.1</f>
        <v>-0.1</v>
      </c>
    </row>
    <row r="8" spans="1:6" x14ac:dyDescent="0.2">
      <c r="D8" t="s">
        <v>68</v>
      </c>
      <c r="E8" s="1">
        <v>0.26</v>
      </c>
    </row>
    <row r="9" spans="1:6" x14ac:dyDescent="0.2">
      <c r="D9" t="s">
        <v>69</v>
      </c>
      <c r="E9" s="1">
        <v>5.2999999999999999E-2</v>
      </c>
    </row>
    <row r="10" spans="1:6" x14ac:dyDescent="0.2">
      <c r="C10" t="s">
        <v>70</v>
      </c>
      <c r="E10" s="1">
        <v>190000</v>
      </c>
    </row>
    <row r="11" spans="1:6" x14ac:dyDescent="0.2">
      <c r="B11" t="s">
        <v>71</v>
      </c>
      <c r="E11" s="1">
        <v>115000</v>
      </c>
    </row>
    <row r="18" spans="1:18" x14ac:dyDescent="0.2">
      <c r="A18" t="s">
        <v>0</v>
      </c>
      <c r="B18" t="s">
        <v>1</v>
      </c>
      <c r="I18" t="s">
        <v>41</v>
      </c>
      <c r="J18" t="s">
        <v>42</v>
      </c>
      <c r="K18">
        <v>1</v>
      </c>
      <c r="L18">
        <v>2</v>
      </c>
      <c r="M18">
        <v>3</v>
      </c>
      <c r="N18">
        <v>4</v>
      </c>
      <c r="O18">
        <v>5</v>
      </c>
      <c r="P18">
        <v>6</v>
      </c>
      <c r="Q18">
        <v>7</v>
      </c>
      <c r="R18">
        <v>8</v>
      </c>
    </row>
    <row r="19" spans="1:18" x14ac:dyDescent="0.2">
      <c r="J19" t="s">
        <v>43</v>
      </c>
      <c r="K19">
        <v>14.29</v>
      </c>
      <c r="L19">
        <v>24.49</v>
      </c>
      <c r="M19">
        <v>17.489999999999998</v>
      </c>
      <c r="N19">
        <v>12.49</v>
      </c>
      <c r="O19">
        <v>8.93</v>
      </c>
      <c r="P19">
        <v>8.92</v>
      </c>
      <c r="Q19">
        <v>8.93</v>
      </c>
      <c r="R19">
        <v>4.46</v>
      </c>
    </row>
    <row r="20" spans="1:18" x14ac:dyDescent="0.2">
      <c r="A20" t="s">
        <v>2</v>
      </c>
    </row>
    <row r="21" spans="1:18" x14ac:dyDescent="0.2">
      <c r="B21" t="s">
        <v>3</v>
      </c>
    </row>
    <row r="22" spans="1:18" x14ac:dyDescent="0.2">
      <c r="D22">
        <f>E3</f>
        <v>4.4999999999999998E-2</v>
      </c>
      <c r="E22" s="3" t="s">
        <v>4</v>
      </c>
      <c r="F22">
        <f>(E5+F5)*(E4-E3)</f>
        <v>3.8249999999999999E-2</v>
      </c>
      <c r="G22" s="3" t="s">
        <v>5</v>
      </c>
      <c r="H22" s="5">
        <f>D22+F22</f>
        <v>8.3249999999999991E-2</v>
      </c>
    </row>
    <row r="23" spans="1:18" x14ac:dyDescent="0.2">
      <c r="D23" s="1"/>
      <c r="E23" s="2"/>
    </row>
    <row r="24" spans="1:18" x14ac:dyDescent="0.2">
      <c r="B24" t="s">
        <v>6</v>
      </c>
      <c r="C24" t="s">
        <v>7</v>
      </c>
      <c r="F24">
        <f>E9</f>
        <v>5.2999999999999999E-2</v>
      </c>
    </row>
    <row r="25" spans="1:18" x14ac:dyDescent="0.2">
      <c r="C25" t="s">
        <v>8</v>
      </c>
      <c r="F25" s="4">
        <f>E6</f>
        <v>8.0000000000000002E-3</v>
      </c>
    </row>
    <row r="26" spans="1:18" x14ac:dyDescent="0.2">
      <c r="C26" t="s">
        <v>9</v>
      </c>
      <c r="F26">
        <f>0.5*F25</f>
        <v>4.0000000000000001E-3</v>
      </c>
    </row>
    <row r="27" spans="1:18" x14ac:dyDescent="0.2">
      <c r="C27" t="s">
        <v>10</v>
      </c>
      <c r="F27">
        <f>D22+F26</f>
        <v>4.9000000000000002E-2</v>
      </c>
    </row>
    <row r="28" spans="1:18" x14ac:dyDescent="0.2">
      <c r="C28" t="s">
        <v>11</v>
      </c>
      <c r="F28" s="5">
        <f>F27*(1-E8)</f>
        <v>3.6260000000000001E-2</v>
      </c>
    </row>
    <row r="30" spans="1:18" x14ac:dyDescent="0.2">
      <c r="A30" t="s">
        <v>12</v>
      </c>
    </row>
    <row r="31" spans="1:18" x14ac:dyDescent="0.2">
      <c r="C31" s="1" t="s">
        <v>13</v>
      </c>
      <c r="D31" t="s">
        <v>16</v>
      </c>
      <c r="E31" t="s">
        <v>17</v>
      </c>
    </row>
    <row r="32" spans="1:18" x14ac:dyDescent="0.2">
      <c r="B32" t="s">
        <v>14</v>
      </c>
      <c r="C32" s="1">
        <v>0.79</v>
      </c>
      <c r="D32">
        <f>H22</f>
        <v>8.3249999999999991E-2</v>
      </c>
      <c r="E32">
        <f>C32*D32</f>
        <v>6.5767499999999993E-2</v>
      </c>
    </row>
    <row r="33" spans="1:17" x14ac:dyDescent="0.2">
      <c r="B33" t="s">
        <v>15</v>
      </c>
      <c r="C33" s="1">
        <v>0.21</v>
      </c>
      <c r="D33">
        <f>F28</f>
        <v>3.6260000000000001E-2</v>
      </c>
      <c r="E33">
        <f>C33*D33</f>
        <v>7.6146E-3</v>
      </c>
    </row>
    <row r="35" spans="1:17" x14ac:dyDescent="0.2">
      <c r="D35" s="5" t="s">
        <v>2</v>
      </c>
      <c r="E35" s="5">
        <f>E32+E33</f>
        <v>7.3382099999999992E-2</v>
      </c>
      <c r="F35" t="s">
        <v>18</v>
      </c>
    </row>
    <row r="37" spans="1:17" x14ac:dyDescent="0.2">
      <c r="D37" t="s">
        <v>19</v>
      </c>
    </row>
    <row r="39" spans="1:17" x14ac:dyDescent="0.2">
      <c r="B39" t="s">
        <v>24</v>
      </c>
      <c r="D39" s="6">
        <v>182000000</v>
      </c>
    </row>
    <row r="40" spans="1:17" x14ac:dyDescent="0.2">
      <c r="B40" t="s">
        <v>25</v>
      </c>
      <c r="C40">
        <v>42</v>
      </c>
      <c r="D40" t="s">
        <v>26</v>
      </c>
      <c r="E40">
        <v>25000</v>
      </c>
      <c r="F40" t="s">
        <v>27</v>
      </c>
      <c r="H40" s="6">
        <f>C40*E40</f>
        <v>1050000</v>
      </c>
    </row>
    <row r="42" spans="1:17" x14ac:dyDescent="0.2">
      <c r="B42" t="s">
        <v>29</v>
      </c>
      <c r="D42">
        <v>400</v>
      </c>
      <c r="E42" t="s">
        <v>30</v>
      </c>
      <c r="F42">
        <f>E7+F7</f>
        <v>0</v>
      </c>
      <c r="G42" t="s">
        <v>31</v>
      </c>
    </row>
    <row r="43" spans="1:17" x14ac:dyDescent="0.2">
      <c r="B43" t="s">
        <v>34</v>
      </c>
      <c r="C43" t="s">
        <v>35</v>
      </c>
      <c r="D43">
        <f>E10</f>
        <v>190000</v>
      </c>
    </row>
    <row r="44" spans="1:17" x14ac:dyDescent="0.2">
      <c r="C44" t="s">
        <v>36</v>
      </c>
      <c r="D44">
        <f>E11</f>
        <v>115000</v>
      </c>
    </row>
    <row r="45" spans="1:17" x14ac:dyDescent="0.2">
      <c r="C45" t="s">
        <v>37</v>
      </c>
      <c r="D45">
        <f>D43-D44</f>
        <v>75000</v>
      </c>
      <c r="E45" t="s">
        <v>38</v>
      </c>
    </row>
    <row r="47" spans="1:17" x14ac:dyDescent="0.2">
      <c r="A47" t="s">
        <v>20</v>
      </c>
      <c r="B47" t="s">
        <v>21</v>
      </c>
    </row>
    <row r="48" spans="1:17" x14ac:dyDescent="0.2">
      <c r="B48" t="s">
        <v>23</v>
      </c>
      <c r="F48">
        <v>1</v>
      </c>
      <c r="G48">
        <v>2</v>
      </c>
      <c r="H48">
        <v>3</v>
      </c>
      <c r="I48">
        <v>4</v>
      </c>
      <c r="J48">
        <v>5</v>
      </c>
      <c r="K48">
        <v>6</v>
      </c>
      <c r="L48">
        <v>7</v>
      </c>
      <c r="M48">
        <v>8</v>
      </c>
      <c r="N48">
        <v>9</v>
      </c>
      <c r="O48">
        <v>10</v>
      </c>
      <c r="P48">
        <v>11</v>
      </c>
      <c r="Q48">
        <v>12</v>
      </c>
    </row>
    <row r="49" spans="1:18" x14ac:dyDescent="0.2">
      <c r="B49" t="s">
        <v>22</v>
      </c>
      <c r="C49">
        <v>0</v>
      </c>
      <c r="D49">
        <v>1</v>
      </c>
      <c r="E49">
        <v>2</v>
      </c>
      <c r="F49">
        <v>3</v>
      </c>
      <c r="G49">
        <v>4</v>
      </c>
      <c r="H49">
        <v>5</v>
      </c>
      <c r="I49">
        <v>6</v>
      </c>
      <c r="J49">
        <v>7</v>
      </c>
      <c r="K49">
        <v>8</v>
      </c>
      <c r="L49">
        <v>9</v>
      </c>
      <c r="M49">
        <v>10</v>
      </c>
      <c r="N49">
        <v>11</v>
      </c>
      <c r="O49">
        <v>12</v>
      </c>
      <c r="P49">
        <v>13</v>
      </c>
      <c r="Q49">
        <v>14</v>
      </c>
    </row>
    <row r="50" spans="1:18" x14ac:dyDescent="0.2">
      <c r="B50" t="s">
        <v>28</v>
      </c>
      <c r="C50" s="7">
        <f>-0.5*D39</f>
        <v>-91000000</v>
      </c>
      <c r="D50" s="7">
        <f>C50</f>
        <v>-91000000</v>
      </c>
      <c r="Q50" s="8">
        <v>500000</v>
      </c>
      <c r="R50" t="s">
        <v>46</v>
      </c>
    </row>
    <row r="51" spans="1:18" x14ac:dyDescent="0.2">
      <c r="B51" t="s">
        <v>25</v>
      </c>
      <c r="C51" s="8">
        <f>-H40</f>
        <v>-1050000</v>
      </c>
      <c r="Q51" s="8">
        <f>-C51</f>
        <v>1050000</v>
      </c>
    </row>
    <row r="53" spans="1:18" x14ac:dyDescent="0.2">
      <c r="B53" t="s">
        <v>32</v>
      </c>
      <c r="D53">
        <f>D42*(1+F42)</f>
        <v>400</v>
      </c>
      <c r="E53">
        <f>D53*(1+$F$42)</f>
        <v>400</v>
      </c>
      <c r="F53">
        <f t="shared" ref="F53:Q53" si="0">E53*(1+$F$42)</f>
        <v>400</v>
      </c>
      <c r="G53">
        <f t="shared" si="0"/>
        <v>400</v>
      </c>
      <c r="H53">
        <f t="shared" si="0"/>
        <v>400</v>
      </c>
      <c r="I53">
        <f t="shared" si="0"/>
        <v>400</v>
      </c>
      <c r="J53">
        <f t="shared" si="0"/>
        <v>400</v>
      </c>
      <c r="K53">
        <f t="shared" si="0"/>
        <v>400</v>
      </c>
      <c r="L53">
        <f t="shared" si="0"/>
        <v>400</v>
      </c>
      <c r="M53">
        <f t="shared" si="0"/>
        <v>400</v>
      </c>
      <c r="N53">
        <f t="shared" si="0"/>
        <v>400</v>
      </c>
      <c r="O53">
        <f t="shared" si="0"/>
        <v>400</v>
      </c>
      <c r="P53">
        <f t="shared" si="0"/>
        <v>400</v>
      </c>
      <c r="Q53">
        <f t="shared" si="0"/>
        <v>400</v>
      </c>
    </row>
    <row r="54" spans="1:18" x14ac:dyDescent="0.2">
      <c r="B54" t="s">
        <v>33</v>
      </c>
      <c r="F54">
        <f>D45</f>
        <v>75000</v>
      </c>
      <c r="G54">
        <f>F54</f>
        <v>75000</v>
      </c>
      <c r="H54">
        <f t="shared" ref="H54:Q54" si="1">G54</f>
        <v>75000</v>
      </c>
      <c r="I54">
        <f t="shared" si="1"/>
        <v>75000</v>
      </c>
      <c r="J54">
        <f t="shared" si="1"/>
        <v>75000</v>
      </c>
      <c r="K54">
        <f t="shared" si="1"/>
        <v>75000</v>
      </c>
      <c r="L54">
        <f t="shared" si="1"/>
        <v>75000</v>
      </c>
      <c r="M54">
        <f t="shared" si="1"/>
        <v>75000</v>
      </c>
      <c r="N54">
        <f t="shared" si="1"/>
        <v>75000</v>
      </c>
      <c r="O54">
        <f t="shared" si="1"/>
        <v>75000</v>
      </c>
      <c r="P54">
        <f t="shared" si="1"/>
        <v>75000</v>
      </c>
      <c r="Q54">
        <f t="shared" si="1"/>
        <v>75000</v>
      </c>
    </row>
    <row r="55" spans="1:18" x14ac:dyDescent="0.2">
      <c r="B55" t="s">
        <v>39</v>
      </c>
      <c r="F55" s="6">
        <f>F53*F54</f>
        <v>30000000</v>
      </c>
      <c r="G55" s="6">
        <f t="shared" ref="G55:Q55" si="2">G53*G54</f>
        <v>30000000</v>
      </c>
      <c r="H55" s="6">
        <f t="shared" si="2"/>
        <v>30000000</v>
      </c>
      <c r="I55" s="6">
        <f t="shared" si="2"/>
        <v>30000000</v>
      </c>
      <c r="J55" s="6">
        <f t="shared" si="2"/>
        <v>30000000</v>
      </c>
      <c r="K55" s="6">
        <f t="shared" si="2"/>
        <v>30000000</v>
      </c>
      <c r="L55" s="6">
        <f t="shared" si="2"/>
        <v>30000000</v>
      </c>
      <c r="M55" s="6">
        <f t="shared" si="2"/>
        <v>30000000</v>
      </c>
      <c r="N55" s="6">
        <f t="shared" si="2"/>
        <v>30000000</v>
      </c>
      <c r="O55" s="6">
        <f t="shared" si="2"/>
        <v>30000000</v>
      </c>
      <c r="P55" s="6">
        <f t="shared" si="2"/>
        <v>30000000</v>
      </c>
      <c r="Q55" s="6">
        <f t="shared" si="2"/>
        <v>30000000</v>
      </c>
    </row>
    <row r="57" spans="1:18" x14ac:dyDescent="0.2">
      <c r="B57" t="s">
        <v>40</v>
      </c>
      <c r="F57" s="8">
        <f>(1-$E$8)*F55</f>
        <v>22200000</v>
      </c>
      <c r="G57" s="8">
        <f t="shared" ref="G57:Q57" si="3">(1-$E$8)*G55</f>
        <v>22200000</v>
      </c>
      <c r="H57" s="8">
        <f t="shared" si="3"/>
        <v>22200000</v>
      </c>
      <c r="I57" s="8">
        <f t="shared" si="3"/>
        <v>22200000</v>
      </c>
      <c r="J57" s="8">
        <f t="shared" si="3"/>
        <v>22200000</v>
      </c>
      <c r="K57" s="8">
        <f t="shared" si="3"/>
        <v>22200000</v>
      </c>
      <c r="L57" s="8">
        <f t="shared" si="3"/>
        <v>22200000</v>
      </c>
      <c r="M57" s="8">
        <f t="shared" si="3"/>
        <v>22200000</v>
      </c>
      <c r="N57" s="8">
        <f t="shared" si="3"/>
        <v>22200000</v>
      </c>
      <c r="O57" s="8">
        <f t="shared" si="3"/>
        <v>22200000</v>
      </c>
      <c r="P57" s="8">
        <f t="shared" si="3"/>
        <v>22200000</v>
      </c>
      <c r="Q57" s="8">
        <f t="shared" si="3"/>
        <v>22200000</v>
      </c>
    </row>
    <row r="59" spans="1:18" x14ac:dyDescent="0.2">
      <c r="B59" t="s">
        <v>44</v>
      </c>
      <c r="F59" s="8">
        <f>$E$8*K19/100*$D$39</f>
        <v>6762028</v>
      </c>
      <c r="G59" s="8">
        <f t="shared" ref="G59:M59" si="4">$E$8*L19/100*$D$39</f>
        <v>11588667.999999998</v>
      </c>
      <c r="H59" s="8">
        <f t="shared" si="4"/>
        <v>8276267.9999999991</v>
      </c>
      <c r="I59" s="8">
        <f t="shared" si="4"/>
        <v>5910268.0000000009</v>
      </c>
      <c r="J59" s="8">
        <f t="shared" si="4"/>
        <v>4225676</v>
      </c>
      <c r="K59" s="8">
        <f t="shared" si="4"/>
        <v>4220944</v>
      </c>
      <c r="L59" s="8">
        <f t="shared" si="4"/>
        <v>4225676</v>
      </c>
      <c r="M59" s="8">
        <f t="shared" si="4"/>
        <v>2110472</v>
      </c>
      <c r="N59" s="8"/>
    </row>
    <row r="61" spans="1:18" x14ac:dyDescent="0.2">
      <c r="B61" t="s">
        <v>45</v>
      </c>
      <c r="F61" s="8">
        <v>-3000000</v>
      </c>
      <c r="Q61" s="8">
        <f>-F61</f>
        <v>3000000</v>
      </c>
    </row>
    <row r="63" spans="1:18" x14ac:dyDescent="0.2">
      <c r="A63" t="s">
        <v>47</v>
      </c>
      <c r="C63" s="7">
        <f>C50+C51</f>
        <v>-92050000</v>
      </c>
      <c r="D63" s="7">
        <f>D50+D51</f>
        <v>-91000000</v>
      </c>
      <c r="E63">
        <v>0</v>
      </c>
      <c r="F63" s="8">
        <f>F57+F59+F61</f>
        <v>25962028</v>
      </c>
      <c r="G63" s="8">
        <f t="shared" ref="G63:P63" si="5">G57+G59+G61</f>
        <v>33788668</v>
      </c>
      <c r="H63" s="8">
        <f t="shared" si="5"/>
        <v>30476268</v>
      </c>
      <c r="I63" s="8">
        <f t="shared" si="5"/>
        <v>28110268</v>
      </c>
      <c r="J63" s="8">
        <f t="shared" si="5"/>
        <v>26425676</v>
      </c>
      <c r="K63" s="8">
        <f t="shared" si="5"/>
        <v>26420944</v>
      </c>
      <c r="L63" s="8">
        <f t="shared" si="5"/>
        <v>26425676</v>
      </c>
      <c r="M63" s="8">
        <f t="shared" si="5"/>
        <v>24310472</v>
      </c>
      <c r="N63" s="8">
        <f t="shared" si="5"/>
        <v>22200000</v>
      </c>
      <c r="O63" s="8">
        <f t="shared" si="5"/>
        <v>22200000</v>
      </c>
      <c r="P63" s="8">
        <f t="shared" si="5"/>
        <v>22200000</v>
      </c>
      <c r="Q63" s="8">
        <f>Q57+Q59+Q61+Q50+Q51</f>
        <v>26750000</v>
      </c>
    </row>
    <row r="64" spans="1:18" x14ac:dyDescent="0.2">
      <c r="B64" t="s">
        <v>48</v>
      </c>
      <c r="C64">
        <f>EXP(-$E$35*C49)</f>
        <v>1</v>
      </c>
      <c r="D64">
        <f t="shared" ref="D64:Q64" si="6">EXP(-$E$35*D49)</f>
        <v>0.92924569740104856</v>
      </c>
      <c r="E64">
        <f t="shared" si="6"/>
        <v>0.86349756613836126</v>
      </c>
      <c r="F64">
        <f t="shared" si="6"/>
        <v>0.8024013980503496</v>
      </c>
      <c r="G64">
        <f t="shared" si="6"/>
        <v>0.74562804672687344</v>
      </c>
      <c r="H64">
        <f t="shared" si="6"/>
        <v>0.6928716542824952</v>
      </c>
      <c r="I64">
        <f t="shared" si="6"/>
        <v>0.64384800359315553</v>
      </c>
      <c r="J64">
        <f t="shared" si="6"/>
        <v>0.59829298711919465</v>
      </c>
      <c r="K64">
        <f t="shared" si="6"/>
        <v>0.55596118406573258</v>
      </c>
      <c r="L64">
        <f t="shared" si="6"/>
        <v>0.51662453821507448</v>
      </c>
      <c r="M64">
        <f t="shared" si="6"/>
        <v>0.48007112930816159</v>
      </c>
      <c r="N64">
        <f t="shared" si="6"/>
        <v>0.44610403135607157</v>
      </c>
      <c r="O64">
        <f t="shared" si="6"/>
        <v>0.41454025173089204</v>
      </c>
      <c r="P64">
        <f t="shared" si="6"/>
        <v>0.38520974532047902</v>
      </c>
      <c r="Q64">
        <f t="shared" si="6"/>
        <v>0.35795449843600885</v>
      </c>
    </row>
    <row r="65" spans="1:17" x14ac:dyDescent="0.2">
      <c r="B65" t="s">
        <v>49</v>
      </c>
      <c r="C65" s="7">
        <f>C63*C64</f>
        <v>-92050000</v>
      </c>
      <c r="D65" s="7">
        <f t="shared" ref="D65:Q65" si="7">D63*D64</f>
        <v>-84561358.463495418</v>
      </c>
      <c r="E65" s="7">
        <f t="shared" si="7"/>
        <v>0</v>
      </c>
      <c r="F65" s="7">
        <f t="shared" si="7"/>
        <v>20831967.563422322</v>
      </c>
      <c r="G65" s="7">
        <f t="shared" si="7"/>
        <v>25193778.522342812</v>
      </c>
      <c r="H65" s="7">
        <f t="shared" si="7"/>
        <v>21116142.225516673</v>
      </c>
      <c r="I65" s="7">
        <f t="shared" si="7"/>
        <v>18098739.932268564</v>
      </c>
      <c r="J65" s="7">
        <f t="shared" si="7"/>
        <v>15810296.630684011</v>
      </c>
      <c r="K65" s="7">
        <f t="shared" si="7"/>
        <v>14689019.310374413</v>
      </c>
      <c r="L65" s="7">
        <f t="shared" si="7"/>
        <v>13652152.660521176</v>
      </c>
      <c r="M65" s="7">
        <f t="shared" si="7"/>
        <v>11670755.747054441</v>
      </c>
      <c r="N65" s="7">
        <f t="shared" si="7"/>
        <v>9903509.496104788</v>
      </c>
      <c r="O65" s="7">
        <f t="shared" si="7"/>
        <v>9202793.5884258039</v>
      </c>
      <c r="P65" s="7">
        <f t="shared" si="7"/>
        <v>8551656.3461146336</v>
      </c>
      <c r="Q65" s="7">
        <f t="shared" si="7"/>
        <v>9575282.8331632372</v>
      </c>
    </row>
    <row r="67" spans="1:17" x14ac:dyDescent="0.2">
      <c r="B67" s="5" t="s">
        <v>50</v>
      </c>
      <c r="C67" s="10">
        <f>SUM(C65:Q65)</f>
        <v>1684736.3924974389</v>
      </c>
    </row>
    <row r="69" spans="1:17" x14ac:dyDescent="0.2">
      <c r="C69" t="s">
        <v>51</v>
      </c>
    </row>
    <row r="70" spans="1:17" x14ac:dyDescent="0.2">
      <c r="C70" t="s">
        <v>52</v>
      </c>
    </row>
    <row r="74" spans="1:17" x14ac:dyDescent="0.2">
      <c r="A74" t="s">
        <v>53</v>
      </c>
      <c r="B74" t="s">
        <v>54</v>
      </c>
      <c r="F74" t="s">
        <v>56</v>
      </c>
      <c r="G74" s="9">
        <v>176190897.65713632</v>
      </c>
    </row>
    <row r="76" spans="1:17" x14ac:dyDescent="0.2">
      <c r="B76" t="s">
        <v>55</v>
      </c>
      <c r="D76" s="9">
        <v>161036039.10784191</v>
      </c>
      <c r="E76" t="s">
        <v>57</v>
      </c>
    </row>
    <row r="78" spans="1:17" x14ac:dyDescent="0.2">
      <c r="B78" t="s">
        <v>58</v>
      </c>
    </row>
    <row r="79" spans="1:17" x14ac:dyDescent="0.2">
      <c r="B79" t="s">
        <v>59</v>
      </c>
      <c r="D79" s="10">
        <v>1684736.3924974389</v>
      </c>
      <c r="F79" s="5" t="s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60DA0-4F89-7047-9AB9-34E20B99B9E2}">
  <dimension ref="A1:R87"/>
  <sheetViews>
    <sheetView topLeftCell="A48" zoomScale="150" zoomScaleNormal="150" workbookViewId="0">
      <selection activeCell="H63" sqref="H63"/>
    </sheetView>
  </sheetViews>
  <sheetFormatPr baseColWidth="10" defaultRowHeight="16" x14ac:dyDescent="0.2"/>
  <cols>
    <col min="2" max="2" width="14" customWidth="1"/>
    <col min="3" max="3" width="14" bestFit="1" customWidth="1"/>
    <col min="4" max="4" width="15" bestFit="1" customWidth="1"/>
    <col min="6" max="6" width="14" bestFit="1" customWidth="1"/>
    <col min="7" max="7" width="18.1640625" bestFit="1" customWidth="1"/>
    <col min="8" max="15" width="13" bestFit="1" customWidth="1"/>
    <col min="16" max="16" width="14.5" customWidth="1"/>
    <col min="17" max="17" width="13.1640625" customWidth="1"/>
  </cols>
  <sheetData>
    <row r="1" spans="1:6" x14ac:dyDescent="0.2">
      <c r="A1" t="s">
        <v>61</v>
      </c>
      <c r="F1" t="s">
        <v>72</v>
      </c>
    </row>
    <row r="2" spans="1:6" x14ac:dyDescent="0.2">
      <c r="E2" s="1" t="s">
        <v>62</v>
      </c>
      <c r="F2" s="1" t="s">
        <v>62</v>
      </c>
    </row>
    <row r="3" spans="1:6" x14ac:dyDescent="0.2">
      <c r="D3" t="s">
        <v>63</v>
      </c>
      <c r="E3" s="1">
        <v>4.4999999999999998E-2</v>
      </c>
    </row>
    <row r="4" spans="1:6" x14ac:dyDescent="0.2">
      <c r="D4" t="s">
        <v>64</v>
      </c>
      <c r="E4" s="1">
        <v>0.09</v>
      </c>
    </row>
    <row r="5" spans="1:6" x14ac:dyDescent="0.2">
      <c r="D5" t="s">
        <v>65</v>
      </c>
      <c r="E5" s="1">
        <v>0.85</v>
      </c>
      <c r="F5">
        <v>0</v>
      </c>
    </row>
    <row r="6" spans="1:6" x14ac:dyDescent="0.2">
      <c r="D6" t="s">
        <v>66</v>
      </c>
      <c r="E6" s="1">
        <v>8.0000000000000002E-3</v>
      </c>
    </row>
    <row r="7" spans="1:6" x14ac:dyDescent="0.2">
      <c r="D7" t="s">
        <v>67</v>
      </c>
      <c r="E7" s="1">
        <v>0.1</v>
      </c>
      <c r="F7">
        <f>-0.1</f>
        <v>-0.1</v>
      </c>
    </row>
    <row r="8" spans="1:6" x14ac:dyDescent="0.2">
      <c r="D8" t="s">
        <v>68</v>
      </c>
      <c r="E8" s="1">
        <v>0.26</v>
      </c>
    </row>
    <row r="9" spans="1:6" x14ac:dyDescent="0.2">
      <c r="D9" t="s">
        <v>69</v>
      </c>
      <c r="E9" s="1">
        <v>5.2999999999999999E-2</v>
      </c>
    </row>
    <row r="10" spans="1:6" x14ac:dyDescent="0.2">
      <c r="C10" t="s">
        <v>70</v>
      </c>
      <c r="E10" s="1">
        <v>190000</v>
      </c>
    </row>
    <row r="11" spans="1:6" x14ac:dyDescent="0.2">
      <c r="B11" t="s">
        <v>71</v>
      </c>
      <c r="E11" s="1">
        <v>115000</v>
      </c>
    </row>
    <row r="18" spans="1:18" x14ac:dyDescent="0.2">
      <c r="A18" t="s">
        <v>0</v>
      </c>
      <c r="B18" t="s">
        <v>1</v>
      </c>
      <c r="I18" t="s">
        <v>41</v>
      </c>
      <c r="J18" t="s">
        <v>42</v>
      </c>
      <c r="K18">
        <v>1</v>
      </c>
      <c r="L18">
        <v>2</v>
      </c>
      <c r="M18">
        <v>3</v>
      </c>
      <c r="N18">
        <v>4</v>
      </c>
      <c r="O18">
        <v>5</v>
      </c>
      <c r="P18">
        <v>6</v>
      </c>
      <c r="Q18">
        <v>7</v>
      </c>
      <c r="R18">
        <v>8</v>
      </c>
    </row>
    <row r="19" spans="1:18" x14ac:dyDescent="0.2">
      <c r="J19" t="s">
        <v>43</v>
      </c>
      <c r="K19">
        <v>14.29</v>
      </c>
      <c r="L19">
        <v>24.49</v>
      </c>
      <c r="M19">
        <v>17.489999999999998</v>
      </c>
      <c r="N19">
        <v>12.49</v>
      </c>
      <c r="O19">
        <v>8.93</v>
      </c>
      <c r="P19">
        <v>8.92</v>
      </c>
      <c r="Q19">
        <v>8.93</v>
      </c>
      <c r="R19">
        <v>4.46</v>
      </c>
    </row>
    <row r="20" spans="1:18" x14ac:dyDescent="0.2">
      <c r="A20" t="s">
        <v>2</v>
      </c>
    </row>
    <row r="21" spans="1:18" x14ac:dyDescent="0.2">
      <c r="B21" t="s">
        <v>3</v>
      </c>
    </row>
    <row r="22" spans="1:18" x14ac:dyDescent="0.2">
      <c r="D22">
        <f>E3</f>
        <v>4.4999999999999998E-2</v>
      </c>
      <c r="E22" s="3" t="s">
        <v>4</v>
      </c>
      <c r="F22">
        <f>(E5+F5)*(E4-E3)</f>
        <v>3.8249999999999999E-2</v>
      </c>
      <c r="G22" s="3" t="s">
        <v>5</v>
      </c>
      <c r="H22" s="5">
        <f>D22+F22</f>
        <v>8.3249999999999991E-2</v>
      </c>
    </row>
    <row r="23" spans="1:18" x14ac:dyDescent="0.2">
      <c r="D23" s="1"/>
      <c r="E23" s="2"/>
    </row>
    <row r="24" spans="1:18" x14ac:dyDescent="0.2">
      <c r="B24" t="s">
        <v>6</v>
      </c>
      <c r="C24" t="s">
        <v>7</v>
      </c>
      <c r="F24">
        <f>E9</f>
        <v>5.2999999999999999E-2</v>
      </c>
    </row>
    <row r="25" spans="1:18" x14ac:dyDescent="0.2">
      <c r="C25" t="s">
        <v>8</v>
      </c>
      <c r="F25" s="4">
        <f>E6</f>
        <v>8.0000000000000002E-3</v>
      </c>
    </row>
    <row r="26" spans="1:18" x14ac:dyDescent="0.2">
      <c r="C26" t="s">
        <v>9</v>
      </c>
      <c r="F26">
        <f>0.5*F25</f>
        <v>4.0000000000000001E-3</v>
      </c>
    </row>
    <row r="27" spans="1:18" x14ac:dyDescent="0.2">
      <c r="C27" t="s">
        <v>10</v>
      </c>
      <c r="F27">
        <f>D22+F26</f>
        <v>4.9000000000000002E-2</v>
      </c>
    </row>
    <row r="28" spans="1:18" x14ac:dyDescent="0.2">
      <c r="C28" t="s">
        <v>11</v>
      </c>
      <c r="F28" s="5">
        <f>F27*(1-E8)</f>
        <v>3.6260000000000001E-2</v>
      </c>
    </row>
    <row r="30" spans="1:18" x14ac:dyDescent="0.2">
      <c r="A30" t="s">
        <v>12</v>
      </c>
    </row>
    <row r="31" spans="1:18" x14ac:dyDescent="0.2">
      <c r="C31" s="1" t="s">
        <v>13</v>
      </c>
      <c r="D31" t="s">
        <v>16</v>
      </c>
      <c r="E31" t="s">
        <v>17</v>
      </c>
    </row>
    <row r="32" spans="1:18" x14ac:dyDescent="0.2">
      <c r="B32" t="s">
        <v>14</v>
      </c>
      <c r="C32" s="1">
        <v>0.79</v>
      </c>
      <c r="D32">
        <f>H22</f>
        <v>8.3249999999999991E-2</v>
      </c>
      <c r="E32">
        <f>C32*D32</f>
        <v>6.5767499999999993E-2</v>
      </c>
    </row>
    <row r="33" spans="1:17" x14ac:dyDescent="0.2">
      <c r="B33" t="s">
        <v>15</v>
      </c>
      <c r="C33" s="1">
        <v>0.21</v>
      </c>
      <c r="D33">
        <f>F28</f>
        <v>3.6260000000000001E-2</v>
      </c>
      <c r="E33">
        <f>C33*D33</f>
        <v>7.6146E-3</v>
      </c>
    </row>
    <row r="35" spans="1:17" x14ac:dyDescent="0.2">
      <c r="D35" s="5" t="s">
        <v>2</v>
      </c>
      <c r="E35" s="5">
        <f>E32+E33</f>
        <v>7.3382099999999992E-2</v>
      </c>
      <c r="F35" t="s">
        <v>18</v>
      </c>
    </row>
    <row r="37" spans="1:17" x14ac:dyDescent="0.2">
      <c r="D37" t="s">
        <v>19</v>
      </c>
    </row>
    <row r="39" spans="1:17" x14ac:dyDescent="0.2">
      <c r="B39" t="s">
        <v>24</v>
      </c>
      <c r="D39" s="6">
        <v>182000000</v>
      </c>
    </row>
    <row r="40" spans="1:17" x14ac:dyDescent="0.2">
      <c r="B40" t="s">
        <v>25</v>
      </c>
      <c r="C40">
        <v>42</v>
      </c>
      <c r="D40" t="s">
        <v>26</v>
      </c>
      <c r="E40">
        <v>25000</v>
      </c>
      <c r="F40" t="s">
        <v>27</v>
      </c>
      <c r="H40" s="6">
        <f>C40*E40</f>
        <v>1050000</v>
      </c>
    </row>
    <row r="42" spans="1:17" x14ac:dyDescent="0.2">
      <c r="B42" t="s">
        <v>29</v>
      </c>
      <c r="D42">
        <v>400</v>
      </c>
      <c r="E42" t="s">
        <v>30</v>
      </c>
      <c r="F42">
        <f>E7+F7</f>
        <v>0</v>
      </c>
      <c r="G42" t="s">
        <v>31</v>
      </c>
    </row>
    <row r="43" spans="1:17" x14ac:dyDescent="0.2">
      <c r="B43" t="s">
        <v>34</v>
      </c>
      <c r="C43" t="s">
        <v>35</v>
      </c>
      <c r="D43">
        <f>E10</f>
        <v>190000</v>
      </c>
    </row>
    <row r="44" spans="1:17" x14ac:dyDescent="0.2">
      <c r="C44" t="s">
        <v>36</v>
      </c>
      <c r="D44">
        <f>E11</f>
        <v>115000</v>
      </c>
    </row>
    <row r="45" spans="1:17" x14ac:dyDescent="0.2">
      <c r="C45" t="s">
        <v>37</v>
      </c>
      <c r="D45">
        <f>D43-D44</f>
        <v>75000</v>
      </c>
      <c r="E45" t="s">
        <v>38</v>
      </c>
    </row>
    <row r="47" spans="1:17" x14ac:dyDescent="0.2">
      <c r="A47" t="s">
        <v>20</v>
      </c>
      <c r="B47" t="s">
        <v>21</v>
      </c>
    </row>
    <row r="48" spans="1:17" x14ac:dyDescent="0.2">
      <c r="B48" t="s">
        <v>23</v>
      </c>
      <c r="F48">
        <v>1</v>
      </c>
      <c r="G48">
        <v>2</v>
      </c>
      <c r="H48">
        <v>3</v>
      </c>
      <c r="I48">
        <v>4</v>
      </c>
      <c r="J48">
        <v>5</v>
      </c>
      <c r="K48">
        <v>6</v>
      </c>
      <c r="L48">
        <v>7</v>
      </c>
      <c r="M48">
        <v>8</v>
      </c>
      <c r="N48">
        <v>9</v>
      </c>
      <c r="O48">
        <v>10</v>
      </c>
      <c r="P48">
        <v>11</v>
      </c>
      <c r="Q48">
        <v>12</v>
      </c>
    </row>
    <row r="49" spans="2:18" x14ac:dyDescent="0.2">
      <c r="B49" t="s">
        <v>22</v>
      </c>
      <c r="C49">
        <v>0</v>
      </c>
      <c r="D49">
        <v>1</v>
      </c>
      <c r="E49">
        <v>2</v>
      </c>
      <c r="F49">
        <v>3</v>
      </c>
      <c r="G49">
        <v>4</v>
      </c>
      <c r="H49">
        <v>5</v>
      </c>
      <c r="I49">
        <v>6</v>
      </c>
      <c r="J49">
        <v>7</v>
      </c>
      <c r="K49">
        <v>8</v>
      </c>
      <c r="L49">
        <v>9</v>
      </c>
      <c r="M49">
        <v>10</v>
      </c>
      <c r="N49">
        <v>11</v>
      </c>
      <c r="O49">
        <v>12</v>
      </c>
      <c r="P49">
        <v>13</v>
      </c>
      <c r="Q49">
        <v>14</v>
      </c>
    </row>
    <row r="50" spans="2:18" x14ac:dyDescent="0.2">
      <c r="B50" t="s">
        <v>28</v>
      </c>
      <c r="C50" s="7">
        <f>-0.5*D39</f>
        <v>-91000000</v>
      </c>
      <c r="D50" s="7">
        <f>C50</f>
        <v>-91000000</v>
      </c>
      <c r="Q50" s="8">
        <v>500000</v>
      </c>
      <c r="R50" t="s">
        <v>46</v>
      </c>
    </row>
    <row r="51" spans="2:18" x14ac:dyDescent="0.2">
      <c r="B51" t="s">
        <v>25</v>
      </c>
      <c r="C51" s="8">
        <f>-H40</f>
        <v>-1050000</v>
      </c>
      <c r="Q51" s="8">
        <f>-C51</f>
        <v>1050000</v>
      </c>
    </row>
    <row r="53" spans="2:18" x14ac:dyDescent="0.2">
      <c r="B53" t="s">
        <v>32</v>
      </c>
      <c r="D53">
        <f>D42*(1+F42)</f>
        <v>400</v>
      </c>
      <c r="E53">
        <f>D53*(1+$F$42)</f>
        <v>400</v>
      </c>
      <c r="F53">
        <f t="shared" ref="F53:Q53" si="0">E53*(1+$F$42)</f>
        <v>400</v>
      </c>
      <c r="G53">
        <f t="shared" si="0"/>
        <v>400</v>
      </c>
      <c r="H53">
        <f t="shared" si="0"/>
        <v>400</v>
      </c>
      <c r="I53">
        <f t="shared" si="0"/>
        <v>400</v>
      </c>
      <c r="J53">
        <f t="shared" si="0"/>
        <v>400</v>
      </c>
      <c r="K53">
        <f t="shared" si="0"/>
        <v>400</v>
      </c>
      <c r="L53">
        <f t="shared" si="0"/>
        <v>400</v>
      </c>
      <c r="M53">
        <f t="shared" si="0"/>
        <v>400</v>
      </c>
      <c r="N53">
        <f t="shared" si="0"/>
        <v>400</v>
      </c>
      <c r="O53">
        <f t="shared" si="0"/>
        <v>400</v>
      </c>
      <c r="P53">
        <f t="shared" si="0"/>
        <v>400</v>
      </c>
      <c r="Q53">
        <f t="shared" si="0"/>
        <v>400</v>
      </c>
    </row>
    <row r="54" spans="2:18" x14ac:dyDescent="0.2">
      <c r="B54" t="s">
        <v>33</v>
      </c>
      <c r="F54">
        <f>D45</f>
        <v>75000</v>
      </c>
      <c r="G54">
        <f>F54</f>
        <v>75000</v>
      </c>
      <c r="H54">
        <f t="shared" ref="H54:Q54" si="1">G54</f>
        <v>75000</v>
      </c>
      <c r="I54">
        <f t="shared" si="1"/>
        <v>75000</v>
      </c>
      <c r="J54">
        <f t="shared" si="1"/>
        <v>75000</v>
      </c>
      <c r="K54">
        <f t="shared" si="1"/>
        <v>75000</v>
      </c>
      <c r="L54">
        <f t="shared" si="1"/>
        <v>75000</v>
      </c>
      <c r="M54">
        <f t="shared" si="1"/>
        <v>75000</v>
      </c>
      <c r="N54">
        <f t="shared" si="1"/>
        <v>75000</v>
      </c>
      <c r="O54">
        <f t="shared" si="1"/>
        <v>75000</v>
      </c>
      <c r="P54">
        <f t="shared" si="1"/>
        <v>75000</v>
      </c>
      <c r="Q54">
        <f t="shared" si="1"/>
        <v>75000</v>
      </c>
    </row>
    <row r="55" spans="2:18" x14ac:dyDescent="0.2">
      <c r="B55" t="s">
        <v>73</v>
      </c>
      <c r="F55" s="6">
        <f>F53*F54</f>
        <v>30000000</v>
      </c>
      <c r="G55" s="6">
        <f t="shared" ref="G55:Q55" si="2">G53*G54</f>
        <v>30000000</v>
      </c>
      <c r="H55" s="6">
        <f t="shared" si="2"/>
        <v>30000000</v>
      </c>
      <c r="I55" s="6">
        <f t="shared" si="2"/>
        <v>30000000</v>
      </c>
      <c r="J55" s="6">
        <f t="shared" si="2"/>
        <v>30000000</v>
      </c>
      <c r="K55" s="6">
        <f t="shared" si="2"/>
        <v>30000000</v>
      </c>
      <c r="L55" s="6">
        <f t="shared" si="2"/>
        <v>30000000</v>
      </c>
      <c r="M55" s="6">
        <f t="shared" si="2"/>
        <v>30000000</v>
      </c>
      <c r="N55" s="6">
        <f t="shared" si="2"/>
        <v>30000000</v>
      </c>
      <c r="O55" s="6">
        <f t="shared" si="2"/>
        <v>30000000</v>
      </c>
      <c r="P55" s="6">
        <f t="shared" si="2"/>
        <v>30000000</v>
      </c>
      <c r="Q55" s="6">
        <f t="shared" si="2"/>
        <v>30000000</v>
      </c>
    </row>
    <row r="57" spans="2:18" x14ac:dyDescent="0.2">
      <c r="B57" t="s">
        <v>74</v>
      </c>
      <c r="F57" s="8">
        <f>K19/100*$D$39</f>
        <v>26007800</v>
      </c>
      <c r="G57" s="8">
        <f t="shared" ref="G57:M57" si="3">L19/100*$D$39</f>
        <v>44571799.999999993</v>
      </c>
      <c r="H57" s="8">
        <f t="shared" si="3"/>
        <v>31831799.999999996</v>
      </c>
      <c r="I57" s="8">
        <f t="shared" si="3"/>
        <v>22731800</v>
      </c>
      <c r="J57" s="8">
        <f t="shared" si="3"/>
        <v>16252599.999999998</v>
      </c>
      <c r="K57" s="8">
        <f t="shared" si="3"/>
        <v>16234400</v>
      </c>
      <c r="L57" s="8">
        <f t="shared" si="3"/>
        <v>16252599.999999998</v>
      </c>
      <c r="M57" s="8">
        <f t="shared" si="3"/>
        <v>8117200</v>
      </c>
      <c r="N57" s="8">
        <v>0</v>
      </c>
    </row>
    <row r="59" spans="2:18" x14ac:dyDescent="0.2">
      <c r="B59" t="s">
        <v>75</v>
      </c>
      <c r="F59" s="8">
        <f>F55-F57</f>
        <v>3992200</v>
      </c>
      <c r="G59" s="8">
        <f t="shared" ref="G59:Q59" si="4">G55-G57</f>
        <v>-14571799.999999993</v>
      </c>
      <c r="H59" s="8">
        <f t="shared" si="4"/>
        <v>-1831799.9999999963</v>
      </c>
      <c r="I59" s="8">
        <f t="shared" si="4"/>
        <v>7268200</v>
      </c>
      <c r="J59" s="8">
        <f t="shared" si="4"/>
        <v>13747400.000000002</v>
      </c>
      <c r="K59" s="8">
        <f t="shared" si="4"/>
        <v>13765600</v>
      </c>
      <c r="L59" s="8">
        <f t="shared" si="4"/>
        <v>13747400.000000002</v>
      </c>
      <c r="M59" s="8">
        <f t="shared" si="4"/>
        <v>21882800</v>
      </c>
      <c r="N59" s="8">
        <f t="shared" si="4"/>
        <v>30000000</v>
      </c>
      <c r="O59" s="8">
        <f t="shared" si="4"/>
        <v>30000000</v>
      </c>
      <c r="P59" s="8">
        <f t="shared" si="4"/>
        <v>30000000</v>
      </c>
      <c r="Q59" s="8">
        <f t="shared" si="4"/>
        <v>30000000</v>
      </c>
    </row>
    <row r="61" spans="2:18" x14ac:dyDescent="0.2">
      <c r="B61" t="s">
        <v>76</v>
      </c>
      <c r="F61" s="8">
        <f>$E$8*F59</f>
        <v>1037972</v>
      </c>
      <c r="G61" s="8">
        <f t="shared" ref="G61:Q61" si="5">$E$8*G59</f>
        <v>-3788667.9999999981</v>
      </c>
      <c r="H61" s="8">
        <f t="shared" si="5"/>
        <v>-476267.99999999907</v>
      </c>
      <c r="I61" s="8">
        <f t="shared" si="5"/>
        <v>1889732</v>
      </c>
      <c r="J61" s="8">
        <f t="shared" si="5"/>
        <v>3574324.0000000005</v>
      </c>
      <c r="K61" s="8">
        <f t="shared" si="5"/>
        <v>3579056</v>
      </c>
      <c r="L61" s="8">
        <f t="shared" si="5"/>
        <v>3574324.0000000005</v>
      </c>
      <c r="M61" s="8">
        <f t="shared" si="5"/>
        <v>5689528</v>
      </c>
      <c r="N61" s="8">
        <f t="shared" si="5"/>
        <v>7800000</v>
      </c>
      <c r="O61" s="8">
        <f t="shared" si="5"/>
        <v>7800000</v>
      </c>
      <c r="P61" s="8">
        <f t="shared" si="5"/>
        <v>7800000</v>
      </c>
      <c r="Q61" s="8">
        <f t="shared" si="5"/>
        <v>7800000</v>
      </c>
    </row>
    <row r="63" spans="2:18" x14ac:dyDescent="0.2">
      <c r="B63" t="s">
        <v>77</v>
      </c>
      <c r="F63" s="8">
        <f>F59-F61</f>
        <v>2954228</v>
      </c>
      <c r="G63" s="8">
        <f t="shared" ref="G63:Q63" si="6">G59-G61</f>
        <v>-10783131.999999994</v>
      </c>
      <c r="H63" s="8">
        <f t="shared" si="6"/>
        <v>-1355531.9999999972</v>
      </c>
      <c r="I63" s="8">
        <f t="shared" si="6"/>
        <v>5378468</v>
      </c>
      <c r="J63" s="8">
        <f t="shared" si="6"/>
        <v>10173076.000000002</v>
      </c>
      <c r="K63" s="8">
        <f t="shared" si="6"/>
        <v>10186544</v>
      </c>
      <c r="L63" s="8">
        <f t="shared" si="6"/>
        <v>10173076.000000002</v>
      </c>
      <c r="M63" s="8">
        <f t="shared" si="6"/>
        <v>16193272</v>
      </c>
      <c r="N63" s="8">
        <f t="shared" si="6"/>
        <v>22200000</v>
      </c>
      <c r="O63" s="8">
        <f t="shared" si="6"/>
        <v>22200000</v>
      </c>
      <c r="P63" s="8">
        <f t="shared" si="6"/>
        <v>22200000</v>
      </c>
      <c r="Q63" s="8">
        <f t="shared" si="6"/>
        <v>22200000</v>
      </c>
    </row>
    <row r="64" spans="2:18" x14ac:dyDescent="0.2">
      <c r="F64" s="8"/>
    </row>
    <row r="65" spans="1:17" x14ac:dyDescent="0.2">
      <c r="B65" t="s">
        <v>78</v>
      </c>
      <c r="F65" s="8">
        <f>F57</f>
        <v>26007800</v>
      </c>
      <c r="G65" s="8">
        <f t="shared" ref="G65:Q65" si="7">G57</f>
        <v>44571799.999999993</v>
      </c>
      <c r="H65" s="8">
        <f t="shared" si="7"/>
        <v>31831799.999999996</v>
      </c>
      <c r="I65" s="8">
        <f t="shared" si="7"/>
        <v>22731800</v>
      </c>
      <c r="J65" s="8">
        <f t="shared" si="7"/>
        <v>16252599.999999998</v>
      </c>
      <c r="K65" s="8">
        <f t="shared" si="7"/>
        <v>16234400</v>
      </c>
      <c r="L65" s="8">
        <f t="shared" si="7"/>
        <v>16252599.999999998</v>
      </c>
      <c r="M65" s="8">
        <f t="shared" si="7"/>
        <v>8117200</v>
      </c>
      <c r="N65" s="8">
        <f t="shared" si="7"/>
        <v>0</v>
      </c>
      <c r="O65" s="8">
        <f t="shared" si="7"/>
        <v>0</v>
      </c>
      <c r="P65" s="8">
        <f t="shared" si="7"/>
        <v>0</v>
      </c>
      <c r="Q65" s="8">
        <f t="shared" si="7"/>
        <v>0</v>
      </c>
    </row>
    <row r="66" spans="1:17" x14ac:dyDescent="0.2">
      <c r="F66" s="8"/>
    </row>
    <row r="67" spans="1:17" x14ac:dyDescent="0.2">
      <c r="B67" t="s">
        <v>79</v>
      </c>
      <c r="F67" s="8">
        <f>F63+F65</f>
        <v>28962028</v>
      </c>
      <c r="G67" s="8">
        <f t="shared" ref="G67:Q67" si="8">G63+G65</f>
        <v>33788668</v>
      </c>
      <c r="H67" s="8">
        <f t="shared" si="8"/>
        <v>30476268</v>
      </c>
      <c r="I67" s="8">
        <f t="shared" si="8"/>
        <v>28110268</v>
      </c>
      <c r="J67" s="8">
        <f t="shared" si="8"/>
        <v>26425676</v>
      </c>
      <c r="K67" s="8">
        <f t="shared" si="8"/>
        <v>26420944</v>
      </c>
      <c r="L67" s="8">
        <f t="shared" si="8"/>
        <v>26425676</v>
      </c>
      <c r="M67" s="8">
        <f t="shared" si="8"/>
        <v>24310472</v>
      </c>
      <c r="N67" s="8">
        <f t="shared" si="8"/>
        <v>22200000</v>
      </c>
      <c r="O67" s="8">
        <f t="shared" si="8"/>
        <v>22200000</v>
      </c>
      <c r="P67" s="8">
        <f t="shared" si="8"/>
        <v>22200000</v>
      </c>
      <c r="Q67" s="8">
        <f t="shared" si="8"/>
        <v>22200000</v>
      </c>
    </row>
    <row r="68" spans="1:17" x14ac:dyDescent="0.2">
      <c r="F68" s="8"/>
    </row>
    <row r="69" spans="1:17" x14ac:dyDescent="0.2">
      <c r="B69" t="s">
        <v>45</v>
      </c>
      <c r="F69" s="8">
        <v>-3000000</v>
      </c>
      <c r="Q69" s="8">
        <f>-F69</f>
        <v>3000000</v>
      </c>
    </row>
    <row r="71" spans="1:17" x14ac:dyDescent="0.2">
      <c r="A71" t="s">
        <v>47</v>
      </c>
      <c r="C71" s="7">
        <f>C50+C51</f>
        <v>-92050000</v>
      </c>
      <c r="D71" s="7">
        <f>D50+D51</f>
        <v>-91000000</v>
      </c>
      <c r="E71">
        <v>0</v>
      </c>
      <c r="F71" s="8">
        <f>F67+F69+F50+F51</f>
        <v>25962028</v>
      </c>
      <c r="G71" s="8">
        <f t="shared" ref="G71:Q71" si="9">G67+G69+G50+G51</f>
        <v>33788668</v>
      </c>
      <c r="H71" s="8">
        <f t="shared" si="9"/>
        <v>30476268</v>
      </c>
      <c r="I71" s="8">
        <f t="shared" si="9"/>
        <v>28110268</v>
      </c>
      <c r="J71" s="8">
        <f t="shared" si="9"/>
        <v>26425676</v>
      </c>
      <c r="K71" s="8">
        <f t="shared" si="9"/>
        <v>26420944</v>
      </c>
      <c r="L71" s="8">
        <f t="shared" si="9"/>
        <v>26425676</v>
      </c>
      <c r="M71" s="8">
        <f t="shared" si="9"/>
        <v>24310472</v>
      </c>
      <c r="N71" s="8">
        <f t="shared" si="9"/>
        <v>22200000</v>
      </c>
      <c r="O71" s="8">
        <f t="shared" si="9"/>
        <v>22200000</v>
      </c>
      <c r="P71" s="8">
        <f t="shared" si="9"/>
        <v>22200000</v>
      </c>
      <c r="Q71" s="8">
        <f t="shared" si="9"/>
        <v>26750000</v>
      </c>
    </row>
    <row r="72" spans="1:17" x14ac:dyDescent="0.2">
      <c r="B72" t="s">
        <v>48</v>
      </c>
      <c r="C72">
        <f>EXP(-$E$35*C49)</f>
        <v>1</v>
      </c>
      <c r="D72">
        <f>EXP(-$E$35*D49)</f>
        <v>0.92924569740104856</v>
      </c>
      <c r="E72">
        <f>EXP(-$E$35*E49)</f>
        <v>0.86349756613836126</v>
      </c>
      <c r="F72">
        <f>EXP(-$E$35*F49)</f>
        <v>0.8024013980503496</v>
      </c>
      <c r="G72">
        <f>EXP(-$E$35*G49)</f>
        <v>0.74562804672687344</v>
      </c>
      <c r="H72">
        <f>EXP(-$E$35*H49)</f>
        <v>0.6928716542824952</v>
      </c>
      <c r="I72">
        <f>EXP(-$E$35*I49)</f>
        <v>0.64384800359315553</v>
      </c>
      <c r="J72">
        <f>EXP(-$E$35*J49)</f>
        <v>0.59829298711919465</v>
      </c>
      <c r="K72">
        <f>EXP(-$E$35*K49)</f>
        <v>0.55596118406573258</v>
      </c>
      <c r="L72">
        <f>EXP(-$E$35*L49)</f>
        <v>0.51662453821507448</v>
      </c>
      <c r="M72">
        <f>EXP(-$E$35*M49)</f>
        <v>0.48007112930816159</v>
      </c>
      <c r="N72">
        <f>EXP(-$E$35*N49)</f>
        <v>0.44610403135607157</v>
      </c>
      <c r="O72">
        <f>EXP(-$E$35*O49)</f>
        <v>0.41454025173089204</v>
      </c>
      <c r="P72">
        <f>EXP(-$E$35*P49)</f>
        <v>0.38520974532047902</v>
      </c>
      <c r="Q72">
        <f>EXP(-$E$35*Q49)</f>
        <v>0.35795449843600885</v>
      </c>
    </row>
    <row r="73" spans="1:17" x14ac:dyDescent="0.2">
      <c r="B73" t="s">
        <v>49</v>
      </c>
      <c r="C73" s="7">
        <f>C71*C72</f>
        <v>-92050000</v>
      </c>
      <c r="D73" s="7">
        <f t="shared" ref="D73:Q73" si="10">D71*D72</f>
        <v>-84561358.463495418</v>
      </c>
      <c r="E73" s="7">
        <f t="shared" si="10"/>
        <v>0</v>
      </c>
      <c r="F73" s="7">
        <f t="shared" si="10"/>
        <v>20831967.563422322</v>
      </c>
      <c r="G73" s="7">
        <f t="shared" si="10"/>
        <v>25193778.522342812</v>
      </c>
      <c r="H73" s="7">
        <f t="shared" si="10"/>
        <v>21116142.225516673</v>
      </c>
      <c r="I73" s="7">
        <f t="shared" si="10"/>
        <v>18098739.932268564</v>
      </c>
      <c r="J73" s="7">
        <f t="shared" si="10"/>
        <v>15810296.630684011</v>
      </c>
      <c r="K73" s="7">
        <f t="shared" si="10"/>
        <v>14689019.310374413</v>
      </c>
      <c r="L73" s="7">
        <f t="shared" si="10"/>
        <v>13652152.660521176</v>
      </c>
      <c r="M73" s="7">
        <f t="shared" si="10"/>
        <v>11670755.747054441</v>
      </c>
      <c r="N73" s="7">
        <f t="shared" si="10"/>
        <v>9903509.496104788</v>
      </c>
      <c r="O73" s="7">
        <f t="shared" si="10"/>
        <v>9202793.5884258039</v>
      </c>
      <c r="P73" s="7">
        <f t="shared" si="10"/>
        <v>8551656.3461146336</v>
      </c>
      <c r="Q73" s="7">
        <f t="shared" si="10"/>
        <v>9575282.8331632372</v>
      </c>
    </row>
    <row r="75" spans="1:17" x14ac:dyDescent="0.2">
      <c r="B75" s="5" t="s">
        <v>50</v>
      </c>
      <c r="C75" s="10">
        <f>SUM(C73:Q73)</f>
        <v>1684736.3924974389</v>
      </c>
    </row>
    <row r="77" spans="1:17" x14ac:dyDescent="0.2">
      <c r="C77" t="s">
        <v>51</v>
      </c>
    </row>
    <row r="78" spans="1:17" x14ac:dyDescent="0.2">
      <c r="C78" t="s">
        <v>52</v>
      </c>
    </row>
    <row r="82" spans="1:7" x14ac:dyDescent="0.2">
      <c r="A82" t="s">
        <v>53</v>
      </c>
      <c r="B82" t="s">
        <v>54</v>
      </c>
      <c r="F82" t="s">
        <v>56</v>
      </c>
      <c r="G82" s="9">
        <v>176190897.65713632</v>
      </c>
    </row>
    <row r="84" spans="1:7" x14ac:dyDescent="0.2">
      <c r="B84" t="s">
        <v>55</v>
      </c>
      <c r="D84" s="9">
        <v>161036039.10784191</v>
      </c>
      <c r="E84" t="s">
        <v>57</v>
      </c>
    </row>
    <row r="86" spans="1:7" x14ac:dyDescent="0.2">
      <c r="B86" t="s">
        <v>58</v>
      </c>
    </row>
    <row r="87" spans="1:7" x14ac:dyDescent="0.2">
      <c r="B87" t="s">
        <v>59</v>
      </c>
      <c r="D87" s="10">
        <v>1684736.3924974389</v>
      </c>
      <c r="F87" s="5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LamWay</vt:lpstr>
      <vt:lpstr>IncStmtApp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2021-02-09T15:19:32Z</dcterms:created>
  <dcterms:modified xsi:type="dcterms:W3CDTF">2021-02-11T17:44:53Z</dcterms:modified>
</cp:coreProperties>
</file>