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1/510B/ClassSS/"/>
    </mc:Choice>
  </mc:AlternateContent>
  <xr:revisionPtr revIDLastSave="0" documentId="13_ncr:1_{EB1DE726-8587-074B-B50D-F8CD6F4D300B}" xr6:coauthVersionLast="46" xr6:coauthVersionMax="46" xr10:uidLastSave="{00000000-0000-0000-0000-000000000000}"/>
  <bookViews>
    <workbookView xWindow="0" yWindow="2680" windowWidth="28040" windowHeight="17440" xr2:uid="{AEC5D958-FBF5-4843-938C-564CEBBB6D6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H5" i="1" s="1"/>
  <c r="D15" i="1" s="1"/>
  <c r="E15" i="1" s="1"/>
  <c r="D46" i="1"/>
  <c r="C46" i="1"/>
  <c r="Q44" i="1"/>
  <c r="M42" i="1"/>
  <c r="G42" i="1"/>
  <c r="H42" i="1"/>
  <c r="I42" i="1"/>
  <c r="J42" i="1"/>
  <c r="K42" i="1"/>
  <c r="L42" i="1"/>
  <c r="F42" i="1"/>
  <c r="D28" i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D36" i="1"/>
  <c r="E36" i="1" s="1"/>
  <c r="F36" i="1" s="1"/>
  <c r="C33" i="1"/>
  <c r="D33" i="1" s="1"/>
  <c r="H23" i="1"/>
  <c r="C34" i="1" s="1"/>
  <c r="Q34" i="1" s="1"/>
  <c r="F8" i="1"/>
  <c r="F9" i="1" s="1"/>
  <c r="F10" i="1" s="1"/>
  <c r="F11" i="1" s="1"/>
  <c r="D16" i="1" s="1"/>
  <c r="E16" i="1" s="1"/>
  <c r="G36" i="1" l="1"/>
  <c r="F38" i="1"/>
  <c r="F40" i="1" s="1"/>
  <c r="F46" i="1" s="1"/>
  <c r="E18" i="1"/>
  <c r="D47" i="1" l="1"/>
  <c r="D48" i="1" s="1"/>
  <c r="J47" i="1"/>
  <c r="L47" i="1"/>
  <c r="N47" i="1"/>
  <c r="E47" i="1"/>
  <c r="E48" i="1" s="1"/>
  <c r="F47" i="1"/>
  <c r="F48" i="1" s="1"/>
  <c r="H47" i="1"/>
  <c r="K47" i="1"/>
  <c r="P47" i="1"/>
  <c r="C47" i="1"/>
  <c r="C48" i="1" s="1"/>
  <c r="G47" i="1"/>
  <c r="G48" i="1" s="1"/>
  <c r="I47" i="1"/>
  <c r="M47" i="1"/>
  <c r="O47" i="1"/>
  <c r="Q47" i="1"/>
  <c r="H36" i="1"/>
  <c r="G38" i="1"/>
  <c r="G40" i="1" s="1"/>
  <c r="G46" i="1" s="1"/>
  <c r="I36" i="1" l="1"/>
  <c r="H38" i="1"/>
  <c r="H40" i="1" s="1"/>
  <c r="H46" i="1" s="1"/>
  <c r="H48" i="1" s="1"/>
  <c r="J36" i="1" l="1"/>
  <c r="I38" i="1"/>
  <c r="I40" i="1" s="1"/>
  <c r="I46" i="1" s="1"/>
  <c r="I48" i="1" s="1"/>
  <c r="K36" i="1" l="1"/>
  <c r="J38" i="1"/>
  <c r="J40" i="1" s="1"/>
  <c r="J46" i="1" s="1"/>
  <c r="J48" i="1" s="1"/>
  <c r="L36" i="1" l="1"/>
  <c r="K38" i="1"/>
  <c r="K40" i="1" s="1"/>
  <c r="K46" i="1" s="1"/>
  <c r="K48" i="1" s="1"/>
  <c r="M36" i="1" l="1"/>
  <c r="L38" i="1"/>
  <c r="L40" i="1" s="1"/>
  <c r="L46" i="1" s="1"/>
  <c r="L48" i="1" s="1"/>
  <c r="N36" i="1" l="1"/>
  <c r="M38" i="1"/>
  <c r="M40" i="1" s="1"/>
  <c r="M46" i="1" s="1"/>
  <c r="M48" i="1" s="1"/>
  <c r="O36" i="1" l="1"/>
  <c r="N38" i="1"/>
  <c r="N40" i="1" s="1"/>
  <c r="N46" i="1" s="1"/>
  <c r="N48" i="1" s="1"/>
  <c r="P36" i="1" l="1"/>
  <c r="O38" i="1"/>
  <c r="O40" i="1" s="1"/>
  <c r="O46" i="1" s="1"/>
  <c r="O48" i="1" s="1"/>
  <c r="Q36" i="1" l="1"/>
  <c r="Q38" i="1" s="1"/>
  <c r="Q40" i="1" s="1"/>
  <c r="Q46" i="1" s="1"/>
  <c r="Q48" i="1" s="1"/>
  <c r="P38" i="1"/>
  <c r="P40" i="1" s="1"/>
  <c r="P46" i="1" s="1"/>
  <c r="P48" i="1" s="1"/>
  <c r="C50" i="1" l="1"/>
</calcChain>
</file>

<file path=xl/sharedStrings.xml><?xml version="1.0" encoding="utf-8"?>
<sst xmlns="http://schemas.openxmlformats.org/spreadsheetml/2006/main" count="65" uniqueCount="63">
  <si>
    <t>Step 1:</t>
  </si>
  <si>
    <t>Compute the appropriate discount factor to evaluate the expected future cash flows.</t>
  </si>
  <si>
    <t>wacc:</t>
  </si>
  <si>
    <t>cost of equity: Use the CAPM: rf  + beta(E(Rm) - rf)</t>
  </si>
  <si>
    <t xml:space="preserve"> +</t>
  </si>
  <si>
    <t xml:space="preserve"> =</t>
  </si>
  <si>
    <t>cost of debt:</t>
  </si>
  <si>
    <t xml:space="preserve">  MMM 30-year bond ytm:</t>
  </si>
  <si>
    <t>Credit Spread:</t>
  </si>
  <si>
    <t>risk premium:</t>
  </si>
  <si>
    <t>Pre-tax cost of debt:</t>
  </si>
  <si>
    <t>After-tax cost of debt:</t>
  </si>
  <si>
    <t>Capital Structure:</t>
  </si>
  <si>
    <t>Marginal tax spread:</t>
  </si>
  <si>
    <t>% of Capital</t>
  </si>
  <si>
    <t>Equity</t>
  </si>
  <si>
    <t>Debt</t>
  </si>
  <si>
    <t>Cost</t>
  </si>
  <si>
    <t>Product</t>
  </si>
  <si>
    <t xml:space="preserve">  This is the appropriate discount factor to use to evaluate the expected future cash flows from our project.</t>
  </si>
  <si>
    <t>If we undertake a project with a positive Net Present Value (of all incremental cash flows), that will increase the value of the firm.</t>
  </si>
  <si>
    <t>Step 2:</t>
  </si>
  <si>
    <t>Build a time line of all incremental cash flows.</t>
  </si>
  <si>
    <t>Time (Years):</t>
  </si>
  <si>
    <t>Year of plant operation:</t>
  </si>
  <si>
    <t>Total construction cost:</t>
  </si>
  <si>
    <t>Land:</t>
  </si>
  <si>
    <t xml:space="preserve"> acres</t>
  </si>
  <si>
    <t xml:space="preserve"> value per acre</t>
  </si>
  <si>
    <t>Construction:</t>
  </si>
  <si>
    <t>Tons of chemicals produced:</t>
  </si>
  <si>
    <t>growing at</t>
  </si>
  <si>
    <t xml:space="preserve"> per year</t>
  </si>
  <si>
    <t>Tons of Chemicals produced:</t>
  </si>
  <si>
    <t>Savings per ton of making vs buying:</t>
  </si>
  <si>
    <t>Savings per ton:</t>
  </si>
  <si>
    <t>cost of buying:</t>
  </si>
  <si>
    <t xml:space="preserve">              making:</t>
  </si>
  <si>
    <t>Savings:</t>
  </si>
  <si>
    <t xml:space="preserve"> per ton.</t>
  </si>
  <si>
    <t>Total annual savings: (Reduction in COGS)</t>
  </si>
  <si>
    <t>After-tax savings from reduced costs:</t>
  </si>
  <si>
    <t>MACRS:</t>
  </si>
  <si>
    <t>Year:</t>
  </si>
  <si>
    <t>Deprec Rate:</t>
  </si>
  <si>
    <t>Depreciation Tax savings:</t>
  </si>
  <si>
    <t>Tied-up Inventory:</t>
  </si>
  <si>
    <t xml:space="preserve"> (Non taxable salvage)</t>
  </si>
  <si>
    <t>Total Incremental Cash flow:</t>
  </si>
  <si>
    <t>Disct factor:</t>
  </si>
  <si>
    <t>PV:</t>
  </si>
  <si>
    <t>NPV:</t>
  </si>
  <si>
    <t>Our analysis tells us that undertaking this project will increase 3M's value by $176 million.</t>
  </si>
  <si>
    <t>We recommend building the plant.</t>
  </si>
  <si>
    <t>Step 3.</t>
  </si>
  <si>
    <t>Sensitivity analysis -- identification of key value drivers.</t>
  </si>
  <si>
    <t>What if our beta were 1?</t>
  </si>
  <si>
    <t>Beta:</t>
  </si>
  <si>
    <t>Base Case:</t>
  </si>
  <si>
    <t xml:space="preserve">  Still strong buy case.</t>
  </si>
  <si>
    <t>Growth in chemical usage.  We have at 10% over 13 years.</t>
  </si>
  <si>
    <t xml:space="preserve">  What if this were 0?</t>
  </si>
  <si>
    <t>This growth rate is a key value drive of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</si>
</sst>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0"/>
    <numFmt numFmtId="166" formatCode="_(* #,##0_);_(* \(#,##0\);_(* &quot;-&quot;??_);_(@_)"/>
    <numFmt numFmtId="167" formatCode="_(* #,##0.0_);_(* \(#,##0.0\);_(* &quot;-&quot;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quotePrefix="1" applyAlignment="1">
      <alignment horizontal="center"/>
    </xf>
    <xf numFmtId="164" fontId="0" fillId="0" borderId="0" xfId="0" applyNumberFormat="1"/>
    <xf numFmtId="0" fontId="2" fillId="0" borderId="0" xfId="0" applyFont="1"/>
    <xf numFmtId="166" fontId="0" fillId="0" borderId="0" xfId="1" applyNumberFormat="1" applyFont="1"/>
    <xf numFmtId="167" fontId="0" fillId="0" borderId="0" xfId="0" applyNumberFormat="1"/>
    <xf numFmtId="166" fontId="0" fillId="0" borderId="0" xfId="0" applyNumberFormat="1"/>
    <xf numFmtId="167" fontId="2" fillId="0" borderId="0" xfId="0" applyNumberFormat="1" applyFont="1"/>
    <xf numFmtId="166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0288-26DC-4040-AD56-A4644F2659D7}">
  <dimension ref="A1:R62"/>
  <sheetViews>
    <sheetView tabSelected="1" topLeftCell="A39" zoomScale="150" zoomScaleNormal="150" workbookViewId="0">
      <selection activeCell="F26" sqref="F26"/>
    </sheetView>
  </sheetViews>
  <sheetFormatPr baseColWidth="10" defaultRowHeight="16" x14ac:dyDescent="0.2"/>
  <cols>
    <col min="2" max="2" width="14" customWidth="1"/>
    <col min="3" max="3" width="14" bestFit="1" customWidth="1"/>
    <col min="4" max="4" width="15" bestFit="1" customWidth="1"/>
    <col min="6" max="6" width="14" bestFit="1" customWidth="1"/>
    <col min="7" max="7" width="18.1640625" bestFit="1" customWidth="1"/>
    <col min="8" max="15" width="13" bestFit="1" customWidth="1"/>
    <col min="16" max="16" width="14.5" customWidth="1"/>
    <col min="17" max="17" width="13.1640625" customWidth="1"/>
  </cols>
  <sheetData>
    <row r="1" spans="1:18" x14ac:dyDescent="0.2">
      <c r="A1" t="s">
        <v>0</v>
      </c>
      <c r="B1" t="s">
        <v>1</v>
      </c>
      <c r="I1" t="s">
        <v>42</v>
      </c>
      <c r="J1" t="s">
        <v>43</v>
      </c>
      <c r="K1">
        <v>1</v>
      </c>
      <c r="L1">
        <v>2</v>
      </c>
      <c r="M1">
        <v>3</v>
      </c>
      <c r="N1">
        <v>4</v>
      </c>
      <c r="O1">
        <v>5</v>
      </c>
      <c r="P1">
        <v>6</v>
      </c>
      <c r="Q1">
        <v>7</v>
      </c>
      <c r="R1">
        <v>8</v>
      </c>
    </row>
    <row r="2" spans="1:18" x14ac:dyDescent="0.2">
      <c r="J2" t="s">
        <v>44</v>
      </c>
      <c r="K2">
        <v>14.29</v>
      </c>
      <c r="L2">
        <v>24.49</v>
      </c>
      <c r="M2">
        <v>17.489999999999998</v>
      </c>
      <c r="N2">
        <v>12.49</v>
      </c>
      <c r="O2">
        <v>8.93</v>
      </c>
      <c r="P2">
        <v>8.92</v>
      </c>
      <c r="Q2">
        <v>8.93</v>
      </c>
      <c r="R2">
        <v>4.46</v>
      </c>
    </row>
    <row r="3" spans="1:18" x14ac:dyDescent="0.2">
      <c r="A3" t="s">
        <v>2</v>
      </c>
    </row>
    <row r="4" spans="1:18" x14ac:dyDescent="0.2">
      <c r="B4" t="s">
        <v>3</v>
      </c>
    </row>
    <row r="5" spans="1:18" x14ac:dyDescent="0.2">
      <c r="D5">
        <v>4.4999999999999998E-2</v>
      </c>
      <c r="E5" s="3" t="s">
        <v>4</v>
      </c>
      <c r="F5">
        <f>E6*(0.09 -0.045)</f>
        <v>4.4999999999999998E-2</v>
      </c>
      <c r="G5" s="3" t="s">
        <v>5</v>
      </c>
      <c r="H5" s="5">
        <f>D5+F5</f>
        <v>0.09</v>
      </c>
    </row>
    <row r="6" spans="1:18" x14ac:dyDescent="0.2">
      <c r="D6" s="1" t="s">
        <v>57</v>
      </c>
      <c r="E6" s="2">
        <v>1</v>
      </c>
    </row>
    <row r="7" spans="1:18" x14ac:dyDescent="0.2">
      <c r="B7" t="s">
        <v>6</v>
      </c>
      <c r="C7" t="s">
        <v>7</v>
      </c>
      <c r="F7">
        <v>5.2999999999999999E-2</v>
      </c>
    </row>
    <row r="8" spans="1:18" x14ac:dyDescent="0.2">
      <c r="C8" t="s">
        <v>8</v>
      </c>
      <c r="F8" s="4">
        <f>F7-D5</f>
        <v>8.0000000000000002E-3</v>
      </c>
    </row>
    <row r="9" spans="1:18" x14ac:dyDescent="0.2">
      <c r="C9" t="s">
        <v>9</v>
      </c>
      <c r="F9">
        <f>0.5*F8</f>
        <v>4.0000000000000001E-3</v>
      </c>
    </row>
    <row r="10" spans="1:18" x14ac:dyDescent="0.2">
      <c r="C10" t="s">
        <v>10</v>
      </c>
      <c r="F10">
        <f>D5+F9</f>
        <v>4.9000000000000002E-2</v>
      </c>
      <c r="G10" t="s">
        <v>13</v>
      </c>
      <c r="I10">
        <v>0.26</v>
      </c>
    </row>
    <row r="11" spans="1:18" x14ac:dyDescent="0.2">
      <c r="C11" t="s">
        <v>11</v>
      </c>
      <c r="F11" s="5">
        <f>F10*(1-I10)</f>
        <v>3.6260000000000001E-2</v>
      </c>
    </row>
    <row r="13" spans="1:18" x14ac:dyDescent="0.2">
      <c r="A13" t="s">
        <v>12</v>
      </c>
    </row>
    <row r="14" spans="1:18" x14ac:dyDescent="0.2">
      <c r="C14" t="s">
        <v>14</v>
      </c>
      <c r="D14" t="s">
        <v>17</v>
      </c>
      <c r="E14" t="s">
        <v>18</v>
      </c>
    </row>
    <row r="15" spans="1:18" x14ac:dyDescent="0.2">
      <c r="B15" t="s">
        <v>15</v>
      </c>
      <c r="C15">
        <v>0.79</v>
      </c>
      <c r="D15">
        <f>H5</f>
        <v>0.09</v>
      </c>
      <c r="E15">
        <f>C15*D15</f>
        <v>7.1099999999999997E-2</v>
      </c>
    </row>
    <row r="16" spans="1:18" x14ac:dyDescent="0.2">
      <c r="B16" t="s">
        <v>16</v>
      </c>
      <c r="C16">
        <v>0.21</v>
      </c>
      <c r="D16">
        <f>F11</f>
        <v>3.6260000000000001E-2</v>
      </c>
      <c r="E16">
        <f>C16*D16</f>
        <v>7.6146E-3</v>
      </c>
    </row>
    <row r="18" spans="1:17" x14ac:dyDescent="0.2">
      <c r="D18" s="5" t="s">
        <v>2</v>
      </c>
      <c r="E18" s="5">
        <f>E15+E16</f>
        <v>7.8714599999999996E-2</v>
      </c>
      <c r="F18" t="s">
        <v>19</v>
      </c>
    </row>
    <row r="20" spans="1:17" x14ac:dyDescent="0.2">
      <c r="D20" t="s">
        <v>20</v>
      </c>
    </row>
    <row r="22" spans="1:17" x14ac:dyDescent="0.2">
      <c r="B22" t="s">
        <v>25</v>
      </c>
      <c r="D22" s="6">
        <v>182000000</v>
      </c>
    </row>
    <row r="23" spans="1:17" x14ac:dyDescent="0.2">
      <c r="B23" t="s">
        <v>26</v>
      </c>
      <c r="C23">
        <v>42</v>
      </c>
      <c r="D23" t="s">
        <v>27</v>
      </c>
      <c r="E23">
        <v>25000</v>
      </c>
      <c r="F23" t="s">
        <v>28</v>
      </c>
      <c r="H23" s="6">
        <f>C23*E23</f>
        <v>1050000</v>
      </c>
    </row>
    <row r="25" spans="1:17" x14ac:dyDescent="0.2">
      <c r="B25" t="s">
        <v>30</v>
      </c>
      <c r="D25">
        <v>400</v>
      </c>
      <c r="E25" t="s">
        <v>31</v>
      </c>
      <c r="F25">
        <v>0.05</v>
      </c>
      <c r="G25" t="s">
        <v>32</v>
      </c>
    </row>
    <row r="26" spans="1:17" x14ac:dyDescent="0.2">
      <c r="B26" t="s">
        <v>35</v>
      </c>
      <c r="C26" t="s">
        <v>36</v>
      </c>
      <c r="D26">
        <v>190000</v>
      </c>
    </row>
    <row r="27" spans="1:17" x14ac:dyDescent="0.2">
      <c r="C27" t="s">
        <v>37</v>
      </c>
      <c r="D27">
        <v>115000</v>
      </c>
    </row>
    <row r="28" spans="1:17" x14ac:dyDescent="0.2">
      <c r="C28" t="s">
        <v>38</v>
      </c>
      <c r="D28">
        <f>D26-D27</f>
        <v>75000</v>
      </c>
      <c r="E28" t="s">
        <v>39</v>
      </c>
    </row>
    <row r="30" spans="1:17" x14ac:dyDescent="0.2">
      <c r="A30" t="s">
        <v>21</v>
      </c>
      <c r="B30" t="s">
        <v>22</v>
      </c>
    </row>
    <row r="31" spans="1:17" x14ac:dyDescent="0.2">
      <c r="B31" t="s">
        <v>24</v>
      </c>
      <c r="F31">
        <v>1</v>
      </c>
      <c r="G31">
        <v>2</v>
      </c>
      <c r="H31">
        <v>3</v>
      </c>
      <c r="I31">
        <v>4</v>
      </c>
      <c r="J31">
        <v>5</v>
      </c>
      <c r="K31">
        <v>6</v>
      </c>
      <c r="L31">
        <v>7</v>
      </c>
      <c r="M31">
        <v>8</v>
      </c>
      <c r="N31">
        <v>9</v>
      </c>
      <c r="O31">
        <v>10</v>
      </c>
      <c r="P31">
        <v>11</v>
      </c>
      <c r="Q31">
        <v>12</v>
      </c>
    </row>
    <row r="32" spans="1:17" x14ac:dyDescent="0.2">
      <c r="B32" t="s">
        <v>23</v>
      </c>
      <c r="C32">
        <v>0</v>
      </c>
      <c r="D32">
        <v>1</v>
      </c>
      <c r="E32">
        <v>2</v>
      </c>
      <c r="F32">
        <v>3</v>
      </c>
      <c r="G32">
        <v>4</v>
      </c>
      <c r="H32">
        <v>5</v>
      </c>
      <c r="I32">
        <v>6</v>
      </c>
      <c r="J32">
        <v>7</v>
      </c>
      <c r="K32">
        <v>8</v>
      </c>
      <c r="L32">
        <v>9</v>
      </c>
      <c r="M32">
        <v>10</v>
      </c>
      <c r="N32">
        <v>11</v>
      </c>
      <c r="O32">
        <v>12</v>
      </c>
      <c r="P32">
        <v>13</v>
      </c>
      <c r="Q32">
        <v>14</v>
      </c>
    </row>
    <row r="33" spans="1:18" x14ac:dyDescent="0.2">
      <c r="B33" t="s">
        <v>29</v>
      </c>
      <c r="C33" s="7">
        <f>-0.5*D22</f>
        <v>-91000000</v>
      </c>
      <c r="D33" s="7">
        <f>C33</f>
        <v>-91000000</v>
      </c>
      <c r="Q33" s="8">
        <v>500000</v>
      </c>
      <c r="R33" t="s">
        <v>47</v>
      </c>
    </row>
    <row r="34" spans="1:18" x14ac:dyDescent="0.2">
      <c r="B34" t="s">
        <v>26</v>
      </c>
      <c r="C34" s="8">
        <f>-H23</f>
        <v>-1050000</v>
      </c>
      <c r="Q34" s="8">
        <f>-C34</f>
        <v>1050000</v>
      </c>
    </row>
    <row r="36" spans="1:18" x14ac:dyDescent="0.2">
      <c r="B36" t="s">
        <v>33</v>
      </c>
      <c r="D36">
        <f>D25*(1+F25)</f>
        <v>420</v>
      </c>
      <c r="E36">
        <f>D36*(1+$F$25)</f>
        <v>441</v>
      </c>
      <c r="F36">
        <f t="shared" ref="F36:Q36" si="0">E36*(1+$F$25)</f>
        <v>463.05</v>
      </c>
      <c r="G36">
        <f t="shared" si="0"/>
        <v>486.20250000000004</v>
      </c>
      <c r="H36">
        <f t="shared" si="0"/>
        <v>510.51262500000007</v>
      </c>
      <c r="I36">
        <f t="shared" si="0"/>
        <v>536.03825625000013</v>
      </c>
      <c r="J36">
        <f t="shared" si="0"/>
        <v>562.84016906250019</v>
      </c>
      <c r="K36">
        <f t="shared" si="0"/>
        <v>590.98217751562527</v>
      </c>
      <c r="L36">
        <f t="shared" si="0"/>
        <v>620.53128639140652</v>
      </c>
      <c r="M36">
        <f t="shared" si="0"/>
        <v>651.55785071097682</v>
      </c>
      <c r="N36">
        <f t="shared" si="0"/>
        <v>684.13574324652575</v>
      </c>
      <c r="O36">
        <f t="shared" si="0"/>
        <v>718.3425304088521</v>
      </c>
      <c r="P36">
        <f t="shared" si="0"/>
        <v>754.25965692929469</v>
      </c>
      <c r="Q36">
        <f t="shared" si="0"/>
        <v>791.97263977575949</v>
      </c>
    </row>
    <row r="37" spans="1:18" x14ac:dyDescent="0.2">
      <c r="B37" t="s">
        <v>34</v>
      </c>
      <c r="F37">
        <f>D28</f>
        <v>75000</v>
      </c>
      <c r="G37">
        <f>F37</f>
        <v>75000</v>
      </c>
      <c r="H37">
        <f t="shared" ref="H37:Q37" si="1">G37</f>
        <v>75000</v>
      </c>
      <c r="I37">
        <f t="shared" si="1"/>
        <v>75000</v>
      </c>
      <c r="J37">
        <f t="shared" si="1"/>
        <v>75000</v>
      </c>
      <c r="K37">
        <f t="shared" si="1"/>
        <v>75000</v>
      </c>
      <c r="L37">
        <f t="shared" si="1"/>
        <v>75000</v>
      </c>
      <c r="M37">
        <f t="shared" si="1"/>
        <v>75000</v>
      </c>
      <c r="N37">
        <f t="shared" si="1"/>
        <v>75000</v>
      </c>
      <c r="O37">
        <f t="shared" si="1"/>
        <v>75000</v>
      </c>
      <c r="P37">
        <f t="shared" si="1"/>
        <v>75000</v>
      </c>
      <c r="Q37">
        <f t="shared" si="1"/>
        <v>75000</v>
      </c>
    </row>
    <row r="38" spans="1:18" x14ac:dyDescent="0.2">
      <c r="B38" t="s">
        <v>40</v>
      </c>
      <c r="F38" s="6">
        <f>F36*F37</f>
        <v>34728750</v>
      </c>
      <c r="G38" s="6">
        <f t="shared" ref="G38:Q38" si="2">G36*G37</f>
        <v>36465187.5</v>
      </c>
      <c r="H38" s="6">
        <f t="shared" si="2"/>
        <v>38288446.875000007</v>
      </c>
      <c r="I38" s="6">
        <f t="shared" si="2"/>
        <v>40202869.218750007</v>
      </c>
      <c r="J38" s="6">
        <f t="shared" si="2"/>
        <v>42213012.679687515</v>
      </c>
      <c r="K38" s="6">
        <f t="shared" si="2"/>
        <v>44323663.313671894</v>
      </c>
      <c r="L38" s="6">
        <f t="shared" si="2"/>
        <v>46539846.479355492</v>
      </c>
      <c r="M38" s="6">
        <f t="shared" si="2"/>
        <v>48866838.803323261</v>
      </c>
      <c r="N38" s="6">
        <f t="shared" si="2"/>
        <v>51310180.743489429</v>
      </c>
      <c r="O38" s="6">
        <f t="shared" si="2"/>
        <v>53875689.780663908</v>
      </c>
      <c r="P38" s="6">
        <f t="shared" si="2"/>
        <v>56569474.2696971</v>
      </c>
      <c r="Q38" s="6">
        <f t="shared" si="2"/>
        <v>59397947.983181961</v>
      </c>
    </row>
    <row r="40" spans="1:18" x14ac:dyDescent="0.2">
      <c r="B40" t="s">
        <v>41</v>
      </c>
      <c r="F40" s="8">
        <f>(1-$I$10)*F38</f>
        <v>25699275</v>
      </c>
      <c r="G40" s="8">
        <f t="shared" ref="G40:Q40" si="3">(1-$I$10)*G38</f>
        <v>26984238.75</v>
      </c>
      <c r="H40" s="8">
        <f t="shared" si="3"/>
        <v>28333450.687500004</v>
      </c>
      <c r="I40" s="8">
        <f t="shared" si="3"/>
        <v>29750123.221875004</v>
      </c>
      <c r="J40" s="8">
        <f t="shared" si="3"/>
        <v>31237629.382968761</v>
      </c>
      <c r="K40" s="8">
        <f t="shared" si="3"/>
        <v>32799510.852117203</v>
      </c>
      <c r="L40" s="8">
        <f t="shared" si="3"/>
        <v>34439486.394723065</v>
      </c>
      <c r="M40" s="8">
        <f t="shared" si="3"/>
        <v>36161460.714459211</v>
      </c>
      <c r="N40" s="8">
        <f t="shared" si="3"/>
        <v>37969533.750182174</v>
      </c>
      <c r="O40" s="8">
        <f t="shared" si="3"/>
        <v>39868010.437691294</v>
      </c>
      <c r="P40" s="8">
        <f t="shared" si="3"/>
        <v>41861410.959575854</v>
      </c>
      <c r="Q40" s="8">
        <f t="shared" si="3"/>
        <v>43954481.50755465</v>
      </c>
    </row>
    <row r="42" spans="1:18" x14ac:dyDescent="0.2">
      <c r="B42" t="s">
        <v>45</v>
      </c>
      <c r="F42" s="8">
        <f>$I$10*K2/100*$D$22</f>
        <v>6762028</v>
      </c>
      <c r="G42" s="8">
        <f t="shared" ref="G42:L42" si="4">$I$10*L2/100*$D$22</f>
        <v>11588667.999999998</v>
      </c>
      <c r="H42" s="8">
        <f t="shared" si="4"/>
        <v>8276267.9999999991</v>
      </c>
      <c r="I42" s="8">
        <f t="shared" si="4"/>
        <v>5910268.0000000009</v>
      </c>
      <c r="J42" s="8">
        <f t="shared" si="4"/>
        <v>4225676</v>
      </c>
      <c r="K42" s="8">
        <f t="shared" si="4"/>
        <v>4220944</v>
      </c>
      <c r="L42" s="8">
        <f t="shared" si="4"/>
        <v>4225676</v>
      </c>
      <c r="M42" s="8">
        <f>$I$10*R2/100*$D$22</f>
        <v>2110472</v>
      </c>
      <c r="N42" s="8"/>
    </row>
    <row r="44" spans="1:18" x14ac:dyDescent="0.2">
      <c r="B44" t="s">
        <v>46</v>
      </c>
      <c r="F44" s="8">
        <v>-3000000</v>
      </c>
      <c r="Q44" s="8">
        <f>-F44</f>
        <v>3000000</v>
      </c>
    </row>
    <row r="46" spans="1:18" x14ac:dyDescent="0.2">
      <c r="A46" t="s">
        <v>48</v>
      </c>
      <c r="C46" s="7">
        <f>C33+C34</f>
        <v>-92050000</v>
      </c>
      <c r="D46" s="7">
        <f>D33+D34</f>
        <v>-91000000</v>
      </c>
      <c r="E46">
        <v>0</v>
      </c>
      <c r="F46" s="8">
        <f>F40+F42+F44</f>
        <v>29461303</v>
      </c>
      <c r="G46" s="8">
        <f t="shared" ref="G46:Q46" si="5">G40+G42+G44</f>
        <v>38572906.75</v>
      </c>
      <c r="H46" s="8">
        <f t="shared" si="5"/>
        <v>36609718.6875</v>
      </c>
      <c r="I46" s="8">
        <f t="shared" si="5"/>
        <v>35660391.221875004</v>
      </c>
      <c r="J46" s="8">
        <f t="shared" si="5"/>
        <v>35463305.382968761</v>
      </c>
      <c r="K46" s="8">
        <f t="shared" si="5"/>
        <v>37020454.852117203</v>
      </c>
      <c r="L46" s="8">
        <f t="shared" si="5"/>
        <v>38665162.394723065</v>
      </c>
      <c r="M46" s="8">
        <f t="shared" si="5"/>
        <v>38271932.714459211</v>
      </c>
      <c r="N46" s="8">
        <f t="shared" si="5"/>
        <v>37969533.750182174</v>
      </c>
      <c r="O46" s="8">
        <f t="shared" si="5"/>
        <v>39868010.437691294</v>
      </c>
      <c r="P46" s="8">
        <f t="shared" si="5"/>
        <v>41861410.959575854</v>
      </c>
      <c r="Q46" s="8">
        <f>Q40+Q42+Q44+Q33+Q34</f>
        <v>48504481.50755465</v>
      </c>
    </row>
    <row r="47" spans="1:18" x14ac:dyDescent="0.2">
      <c r="B47" t="s">
        <v>49</v>
      </c>
      <c r="C47">
        <f>EXP(-$E$18*C32)</f>
        <v>1</v>
      </c>
      <c r="D47">
        <f t="shared" ref="D47:Q47" si="6">EXP(-$E$18*D32)</f>
        <v>0.92430368307608979</v>
      </c>
      <c r="E47">
        <f t="shared" si="6"/>
        <v>0.85433729854802454</v>
      </c>
      <c r="F47">
        <f t="shared" si="6"/>
        <v>0.78966711163721592</v>
      </c>
      <c r="G47">
        <f t="shared" si="6"/>
        <v>0.72989221969033646</v>
      </c>
      <c r="H47">
        <f t="shared" si="6"/>
        <v>0.67464206690836048</v>
      </c>
      <c r="I47">
        <f t="shared" si="6"/>
        <v>0.62357414720146331</v>
      </c>
      <c r="J47">
        <f t="shared" si="6"/>
        <v>0.57637188092934422</v>
      </c>
      <c r="K47">
        <f t="shared" si="6"/>
        <v>0.53274265236448637</v>
      </c>
      <c r="L47">
        <f t="shared" si="6"/>
        <v>0.49241599571221967</v>
      </c>
      <c r="M47">
        <f t="shared" si="6"/>
        <v>0.45514191844238466</v>
      </c>
      <c r="N47">
        <f t="shared" si="6"/>
        <v>0.42068935153861337</v>
      </c>
      <c r="O47">
        <f t="shared" si="6"/>
        <v>0.38884471705803225</v>
      </c>
      <c r="P47">
        <f t="shared" si="6"/>
        <v>0.35941060412141923</v>
      </c>
      <c r="Q47">
        <f t="shared" si="6"/>
        <v>0.3322045451260302</v>
      </c>
    </row>
    <row r="48" spans="1:18" x14ac:dyDescent="0.2">
      <c r="B48" t="s">
        <v>50</v>
      </c>
      <c r="C48" s="7">
        <f>C46*C47</f>
        <v>-92050000</v>
      </c>
      <c r="D48" s="7">
        <f t="shared" ref="D48:Q48" si="7">D46*D47</f>
        <v>-84111635.159924164</v>
      </c>
      <c r="E48" s="7">
        <f t="shared" si="7"/>
        <v>0</v>
      </c>
      <c r="F48" s="7">
        <f t="shared" si="7"/>
        <v>23264622.045078844</v>
      </c>
      <c r="G48" s="7">
        <f t="shared" si="7"/>
        <v>28154064.527665861</v>
      </c>
      <c r="H48" s="7">
        <f t="shared" si="7"/>
        <v>24698456.284268629</v>
      </c>
      <c r="I48" s="7">
        <f t="shared" si="7"/>
        <v>22236898.045051254</v>
      </c>
      <c r="J48" s="7">
        <f t="shared" si="7"/>
        <v>20440052.027553443</v>
      </c>
      <c r="K48" s="7">
        <f t="shared" si="7"/>
        <v>19722375.309656639</v>
      </c>
      <c r="L48" s="7">
        <f t="shared" si="7"/>
        <v>19039344.439972229</v>
      </c>
      <c r="M48" s="7">
        <f t="shared" si="7"/>
        <v>17419160.878156826</v>
      </c>
      <c r="N48" s="7">
        <f t="shared" si="7"/>
        <v>15973378.531587634</v>
      </c>
      <c r="O48" s="7">
        <f t="shared" si="7"/>
        <v>15502465.238310747</v>
      </c>
      <c r="P48" s="7">
        <f t="shared" si="7"/>
        <v>15045435.002356159</v>
      </c>
      <c r="Q48" s="7">
        <f t="shared" si="7"/>
        <v>16113409.215791136</v>
      </c>
    </row>
    <row r="50" spans="1:7" x14ac:dyDescent="0.2">
      <c r="B50" s="5" t="s">
        <v>51</v>
      </c>
      <c r="C50" s="9">
        <f>SUM(C48:Q48)</f>
        <v>61448026.385525249</v>
      </c>
    </row>
    <row r="52" spans="1:7" x14ac:dyDescent="0.2">
      <c r="C52" t="s">
        <v>52</v>
      </c>
    </row>
    <row r="53" spans="1:7" x14ac:dyDescent="0.2">
      <c r="C53" t="s">
        <v>53</v>
      </c>
    </row>
    <row r="57" spans="1:7" x14ac:dyDescent="0.2">
      <c r="A57" t="s">
        <v>54</v>
      </c>
      <c r="B57" t="s">
        <v>55</v>
      </c>
      <c r="F57" t="s">
        <v>58</v>
      </c>
      <c r="G57" s="6">
        <v>176190897.65713632</v>
      </c>
    </row>
    <row r="59" spans="1:7" x14ac:dyDescent="0.2">
      <c r="B59" t="s">
        <v>56</v>
      </c>
      <c r="D59" s="10">
        <v>161036039.10784191</v>
      </c>
      <c r="E59" t="s">
        <v>59</v>
      </c>
    </row>
    <row r="61" spans="1:7" x14ac:dyDescent="0.2">
      <c r="B61" t="s">
        <v>60</v>
      </c>
    </row>
    <row r="62" spans="1:7" x14ac:dyDescent="0.2">
      <c r="B62" t="s">
        <v>61</v>
      </c>
      <c r="D62" s="6">
        <v>-4688016.6729683634</v>
      </c>
      <c r="F62" s="5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2021-02-09T15:19:32Z</dcterms:created>
  <dcterms:modified xsi:type="dcterms:W3CDTF">2021-02-09T17:59:59Z</dcterms:modified>
</cp:coreProperties>
</file>