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1B4B5C29-58C1-DA46-9739-B8614707CC93}" xr6:coauthVersionLast="46" xr6:coauthVersionMax="46" xr10:uidLastSave="{00000000-0000-0000-0000-000000000000}"/>
  <bookViews>
    <workbookView xWindow="2960" yWindow="2360" windowWidth="28040" windowHeight="17440" xr2:uid="{6C8F7458-7ABA-7949-A4DE-858A9E54C9C7}"/>
  </bookViews>
  <sheets>
    <sheet name="Notes" sheetId="1" r:id="rId1"/>
    <sheet name="Wimmert" sheetId="3" r:id="rId2"/>
    <sheet name="Cartersville" sheetId="2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21" i="3"/>
  <c r="B23" i="3"/>
  <c r="D23" i="3"/>
  <c r="E23" i="3"/>
  <c r="F23" i="3"/>
  <c r="G23" i="3"/>
  <c r="H23" i="3"/>
  <c r="I23" i="3"/>
  <c r="J23" i="3"/>
  <c r="K23" i="3"/>
  <c r="L23" i="3"/>
  <c r="M23" i="3"/>
  <c r="N23" i="3"/>
  <c r="C23" i="3"/>
  <c r="C21" i="3"/>
  <c r="N22" i="3"/>
  <c r="M8" i="3"/>
  <c r="B20" i="3"/>
  <c r="N6" i="3"/>
  <c r="B22" i="3"/>
  <c r="B9" i="3"/>
  <c r="F9" i="3"/>
  <c r="D14" i="3"/>
  <c r="D15" i="3"/>
  <c r="D16" i="3"/>
  <c r="D17" i="3"/>
  <c r="D18" i="3"/>
  <c r="D21" i="3"/>
  <c r="C22" i="3"/>
  <c r="E14" i="3"/>
  <c r="E15" i="3"/>
  <c r="E16" i="3"/>
  <c r="E17" i="3"/>
  <c r="E18" i="3"/>
  <c r="E21" i="3"/>
  <c r="D22" i="3"/>
  <c r="F14" i="3"/>
  <c r="F15" i="3"/>
  <c r="F16" i="3"/>
  <c r="F17" i="3"/>
  <c r="F18" i="3"/>
  <c r="F21" i="3"/>
  <c r="E22" i="3"/>
  <c r="G14" i="3"/>
  <c r="G15" i="3"/>
  <c r="G16" i="3"/>
  <c r="G17" i="3"/>
  <c r="G18" i="3"/>
  <c r="G21" i="3"/>
  <c r="F22" i="3"/>
  <c r="H14" i="3"/>
  <c r="H15" i="3"/>
  <c r="H16" i="3"/>
  <c r="H17" i="3"/>
  <c r="H18" i="3"/>
  <c r="H21" i="3"/>
  <c r="G22" i="3"/>
  <c r="I14" i="3"/>
  <c r="I15" i="3"/>
  <c r="I16" i="3"/>
  <c r="I17" i="3"/>
  <c r="I18" i="3"/>
  <c r="I21" i="3"/>
  <c r="H22" i="3"/>
  <c r="J14" i="3"/>
  <c r="J15" i="3"/>
  <c r="J16" i="3"/>
  <c r="J17" i="3"/>
  <c r="J18" i="3"/>
  <c r="J21" i="3"/>
  <c r="I22" i="3"/>
  <c r="K14" i="3"/>
  <c r="K15" i="3"/>
  <c r="K16" i="3"/>
  <c r="K17" i="3"/>
  <c r="K18" i="3"/>
  <c r="K21" i="3"/>
  <c r="J22" i="3"/>
  <c r="L14" i="3"/>
  <c r="L15" i="3"/>
  <c r="L16" i="3"/>
  <c r="L18" i="3"/>
  <c r="L21" i="3"/>
  <c r="K22" i="3"/>
  <c r="M14" i="3"/>
  <c r="M15" i="3"/>
  <c r="M16" i="3"/>
  <c r="M18" i="3"/>
  <c r="M21" i="3"/>
  <c r="L22" i="3"/>
  <c r="N14" i="3"/>
  <c r="N15" i="3"/>
  <c r="N16" i="3"/>
  <c r="N18" i="3"/>
  <c r="N19" i="3"/>
  <c r="N20" i="3"/>
  <c r="N21" i="3"/>
  <c r="M22" i="3"/>
  <c r="C12" i="1"/>
  <c r="C15" i="1"/>
  <c r="B17" i="1"/>
  <c r="C13" i="1"/>
  <c r="C17" i="1"/>
  <c r="D12" i="1"/>
  <c r="D15" i="1"/>
  <c r="D17" i="1"/>
  <c r="E12" i="1"/>
  <c r="E15" i="1"/>
  <c r="E17" i="1"/>
  <c r="B15" i="1"/>
</calcChain>
</file>

<file path=xl/sharedStrings.xml><?xml version="1.0" encoding="utf-8"?>
<sst xmlns="http://schemas.openxmlformats.org/spreadsheetml/2006/main" count="67" uniqueCount="67">
  <si>
    <t>Marginal tax rate:</t>
  </si>
  <si>
    <t>Project entails an initial of $1 million fully expendable at Time 0 and the project starts producing cash flows in Year 3, and expenses of $100,000 for next 5 years.</t>
  </si>
  <si>
    <t>Time (Yrs):</t>
  </si>
  <si>
    <t>Exps:</t>
  </si>
  <si>
    <t xml:space="preserve">         Oper Exps.</t>
  </si>
  <si>
    <t>EBITDA (Income from Ops):</t>
  </si>
  <si>
    <t>Revenues:</t>
  </si>
  <si>
    <t>. &lt;--- This is a cash inflow when it occurs.</t>
  </si>
  <si>
    <t>(Incremental) Tax Bill:</t>
  </si>
  <si>
    <t>Incremental Net Cash flow:</t>
  </si>
  <si>
    <t>Capital Outlay</t>
  </si>
  <si>
    <t>Deprec:</t>
  </si>
  <si>
    <t>In 1987 Annheuser Busch was considering opening a new brewery / distribution center in Cartersville Ga.</t>
  </si>
  <si>
    <t>Analysis showed if anything a slightly negative NPV.</t>
  </si>
  <si>
    <t>Nevertheless the company proceeded to build the new facility:</t>
  </si>
  <si>
    <t>Resulted in over $1 billion in savings throughout the rest of the company over the next decade:</t>
  </si>
  <si>
    <t xml:space="preserve">     ``Cartersville 2000'' -- internal implementation of these cost savings.</t>
  </si>
  <si>
    <t>Remember that the traditional NPV analysis is based on expectations.</t>
  </si>
  <si>
    <t>Informational externalities:</t>
  </si>
  <si>
    <t>Last brewery that AB had built was back in 60s.  Huge technological since then that no one in the company knew about.  (Complacency)</t>
  </si>
  <si>
    <r>
      <t>Things we don't currently know (or</t>
    </r>
    <r>
      <rPr>
        <sz val="12"/>
        <color rgb="FFFF0000"/>
        <rFont val="Calibri (Body)"/>
      </rPr>
      <t xml:space="preserve"> imagine)</t>
    </r>
    <r>
      <rPr>
        <sz val="12"/>
        <color theme="1"/>
        <rFont val="Calibri"/>
        <family val="2"/>
        <scheme val="minor"/>
      </rPr>
      <t>.</t>
    </r>
  </si>
  <si>
    <t>Complacency was the result of wide profit margins and high profitability.  (Just because we're profitable, doesn't mean we optimal.)</t>
  </si>
  <si>
    <t>The Northrop project has a 60% chance of failure at Time 2 and a follow on 50% chance of failure at Time 5.</t>
  </si>
  <si>
    <t>Chance of success:</t>
  </si>
  <si>
    <t xml:space="preserve">  We expect this project to fail.</t>
  </si>
  <si>
    <t>Why undertake it?</t>
  </si>
  <si>
    <t>Because the first $220 million outlay buys time.</t>
  </si>
  <si>
    <t>We do not commit to the second capital outlay -- we will only do that if we have achieved success at that point.</t>
  </si>
  <si>
    <t>We create an information event that we will use to optimize at Time 2.</t>
  </si>
  <si>
    <t>At Time 5 we had a 50% chance of success and a 50% chance of failure.</t>
  </si>
  <si>
    <t>Wrong:  Evaluate the success case, multiply that by 50%, and plug that in at Time 5 as the expected value.</t>
  </si>
  <si>
    <t>Why:  Failure does not mean 0 cash flows.</t>
  </si>
  <si>
    <t>Morale: Have to flesh out cash flows in all states of nature</t>
  </si>
  <si>
    <t>NPV is negative.</t>
  </si>
  <si>
    <t xml:space="preserve">  In expected value terms this plant would never be turned on.</t>
  </si>
  <si>
    <t>IF this project has value it would derive from the volatility in the market -- which is not characterized by takinng expectations.</t>
  </si>
  <si>
    <t>Time Line:</t>
  </si>
  <si>
    <t>Time (Years):</t>
  </si>
  <si>
    <t>Capital Outlay:</t>
  </si>
  <si>
    <t>7-year MACRS</t>
  </si>
  <si>
    <t>6 days in year when price exceeds $75, and the average price on these 6 days is</t>
  </si>
  <si>
    <t>Capacity:</t>
  </si>
  <si>
    <t>Day:</t>
  </si>
  <si>
    <t>Profitability on these 6 days:</t>
  </si>
  <si>
    <t>cost:</t>
  </si>
  <si>
    <t>Net Operating Income</t>
  </si>
  <si>
    <t>Incremental tax on Op Inc:</t>
  </si>
  <si>
    <t>Tax rate:</t>
  </si>
  <si>
    <t>After-tax Op Income:</t>
  </si>
  <si>
    <t>Deprec Tax Shield:</t>
  </si>
  <si>
    <t>After-tax Income:</t>
  </si>
  <si>
    <t>Change in WC:</t>
  </si>
  <si>
    <t>Land:</t>
  </si>
  <si>
    <t>acres</t>
  </si>
  <si>
    <t xml:space="preserve"> per acre:</t>
  </si>
  <si>
    <t>Tie up land:</t>
  </si>
  <si>
    <t>Project's value derives entirely from volatility so we use the cost of equity to evaluate it:</t>
  </si>
  <si>
    <t>beta:</t>
  </si>
  <si>
    <t>rf:</t>
  </si>
  <si>
    <t>Eq Mkt RP:</t>
  </si>
  <si>
    <t>cost of equity:</t>
  </si>
  <si>
    <t>df:</t>
  </si>
  <si>
    <t>PV:</t>
  </si>
  <si>
    <t>Total CF:</t>
  </si>
  <si>
    <t>NPV:</t>
  </si>
  <si>
    <t>Extracting value from volatility is the nature of options: real and financial.</t>
  </si>
  <si>
    <t>Failure to take advantage of the tax shield from operating loss.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</si>
</sst>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9" formatCode="_(* #,##0_);_(* \(#,##0\);_(* &quot;-&quot;?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quotePrefix="1"/>
    <xf numFmtId="169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831D-6953-8E4C-8F4A-52E4FB9AA3BE}">
  <dimension ref="A1:G31"/>
  <sheetViews>
    <sheetView tabSelected="1" zoomScale="150" zoomScaleNormal="150" workbookViewId="0">
      <selection activeCell="A2" sqref="A2"/>
    </sheetView>
  </sheetViews>
  <sheetFormatPr baseColWidth="10" defaultRowHeight="16" x14ac:dyDescent="0.2"/>
  <cols>
    <col min="1" max="1" width="23.83203125" customWidth="1"/>
    <col min="2" max="2" width="13" bestFit="1" customWidth="1"/>
    <col min="3" max="3" width="11.5" bestFit="1" customWidth="1"/>
  </cols>
  <sheetData>
    <row r="1" spans="1:7" x14ac:dyDescent="0.2">
      <c r="A1" t="s">
        <v>66</v>
      </c>
    </row>
    <row r="3" spans="1:7" x14ac:dyDescent="0.2">
      <c r="A3" t="s">
        <v>0</v>
      </c>
      <c r="C3">
        <v>0.23</v>
      </c>
    </row>
    <row r="4" spans="1:7" x14ac:dyDescent="0.2">
      <c r="A4" t="s">
        <v>1</v>
      </c>
    </row>
    <row r="6" spans="1:7" x14ac:dyDescent="0.2">
      <c r="A6" t="s">
        <v>2</v>
      </c>
      <c r="B6">
        <v>0</v>
      </c>
      <c r="C6">
        <v>1</v>
      </c>
      <c r="D6">
        <v>2</v>
      </c>
      <c r="E6">
        <v>3</v>
      </c>
      <c r="F6">
        <v>4</v>
      </c>
      <c r="G6">
        <v>5</v>
      </c>
    </row>
    <row r="7" spans="1:7" x14ac:dyDescent="0.2">
      <c r="A7" t="s">
        <v>6</v>
      </c>
      <c r="C7">
        <v>0</v>
      </c>
      <c r="D7">
        <v>0</v>
      </c>
      <c r="E7">
        <v>0</v>
      </c>
    </row>
    <row r="8" spans="1:7" x14ac:dyDescent="0.2">
      <c r="A8" t="s">
        <v>3</v>
      </c>
    </row>
    <row r="9" spans="1:7" x14ac:dyDescent="0.2">
      <c r="A9" t="s">
        <v>10</v>
      </c>
      <c r="B9" s="1">
        <v>1000000</v>
      </c>
    </row>
    <row r="10" spans="1:7" x14ac:dyDescent="0.2">
      <c r="A10" t="s">
        <v>4</v>
      </c>
      <c r="C10" s="1">
        <v>100000</v>
      </c>
      <c r="D10" s="1">
        <v>100000</v>
      </c>
      <c r="E10" s="1">
        <v>100000</v>
      </c>
      <c r="F10" s="1">
        <v>100000</v>
      </c>
      <c r="G10" s="1">
        <v>100000</v>
      </c>
    </row>
    <row r="12" spans="1:7" x14ac:dyDescent="0.2">
      <c r="A12" t="s">
        <v>5</v>
      </c>
      <c r="B12" s="2">
        <v>0</v>
      </c>
      <c r="C12" s="2">
        <f t="shared" ref="C12:E12" si="0">C5-C9-C10</f>
        <v>-100000</v>
      </c>
      <c r="D12" s="2">
        <f t="shared" si="0"/>
        <v>-100000</v>
      </c>
      <c r="E12" s="2">
        <f t="shared" si="0"/>
        <v>-100000</v>
      </c>
    </row>
    <row r="13" spans="1:7" x14ac:dyDescent="0.2">
      <c r="A13" t="s">
        <v>11</v>
      </c>
      <c r="C13" s="4">
        <f>0.092*B9</f>
        <v>92000</v>
      </c>
    </row>
    <row r="14" spans="1:7" x14ac:dyDescent="0.2">
      <c r="C14" s="4"/>
    </row>
    <row r="15" spans="1:7" x14ac:dyDescent="0.2">
      <c r="A15" t="s">
        <v>8</v>
      </c>
      <c r="B15" s="2">
        <f>$C$3*B12</f>
        <v>0</v>
      </c>
      <c r="C15" s="2">
        <f>$C$3*C12</f>
        <v>-23000</v>
      </c>
      <c r="D15" s="2">
        <f>$C$3*D12</f>
        <v>-23000</v>
      </c>
      <c r="E15" s="2">
        <f>$C$3*E12</f>
        <v>-23000</v>
      </c>
      <c r="F15" s="3" t="s">
        <v>7</v>
      </c>
    </row>
    <row r="17" spans="1:5" x14ac:dyDescent="0.2">
      <c r="A17" t="s">
        <v>9</v>
      </c>
      <c r="B17" s="2">
        <f>-B9</f>
        <v>-1000000</v>
      </c>
      <c r="C17" s="2">
        <f>C12-C15</f>
        <v>-77000</v>
      </c>
      <c r="D17" s="2">
        <f>D12-D15</f>
        <v>-77000</v>
      </c>
      <c r="E17" s="2">
        <f>E12-E15</f>
        <v>-77000</v>
      </c>
    </row>
    <row r="20" spans="1:5" x14ac:dyDescent="0.2">
      <c r="A20" t="s">
        <v>22</v>
      </c>
    </row>
    <row r="21" spans="1:5" x14ac:dyDescent="0.2">
      <c r="A21" t="s">
        <v>23</v>
      </c>
      <c r="B21" s="6">
        <v>0.2</v>
      </c>
      <c r="C21" t="s">
        <v>24</v>
      </c>
    </row>
    <row r="22" spans="1:5" x14ac:dyDescent="0.2">
      <c r="A22" t="s">
        <v>25</v>
      </c>
    </row>
    <row r="23" spans="1:5" x14ac:dyDescent="0.2">
      <c r="B23" t="s">
        <v>26</v>
      </c>
    </row>
    <row r="24" spans="1:5" x14ac:dyDescent="0.2">
      <c r="B24" t="s">
        <v>27</v>
      </c>
    </row>
    <row r="25" spans="1:5" x14ac:dyDescent="0.2">
      <c r="B25" t="s">
        <v>28</v>
      </c>
    </row>
    <row r="28" spans="1:5" x14ac:dyDescent="0.2">
      <c r="A28" t="s">
        <v>29</v>
      </c>
    </row>
    <row r="29" spans="1:5" x14ac:dyDescent="0.2">
      <c r="B29" t="s">
        <v>30</v>
      </c>
    </row>
    <row r="30" spans="1:5" x14ac:dyDescent="0.2">
      <c r="B30" t="s">
        <v>31</v>
      </c>
    </row>
    <row r="31" spans="1:5" x14ac:dyDescent="0.2">
      <c r="B3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B0E4-A8D7-654F-BCD9-45C46B63D722}">
  <dimension ref="A1:N27"/>
  <sheetViews>
    <sheetView zoomScale="160" zoomScaleNormal="160" workbookViewId="0">
      <selection activeCell="D19" sqref="D19"/>
    </sheetView>
  </sheetViews>
  <sheetFormatPr baseColWidth="10" defaultRowHeight="16" x14ac:dyDescent="0.2"/>
  <cols>
    <col min="1" max="1" width="14.83203125" customWidth="1"/>
    <col min="2" max="2" width="14.83203125" bestFit="1" customWidth="1"/>
    <col min="13" max="13" width="12.6640625" customWidth="1"/>
  </cols>
  <sheetData>
    <row r="1" spans="1:14" x14ac:dyDescent="0.2">
      <c r="A1" t="s">
        <v>33</v>
      </c>
    </row>
    <row r="2" spans="1:14" x14ac:dyDescent="0.2">
      <c r="A2" t="s">
        <v>34</v>
      </c>
    </row>
    <row r="3" spans="1:14" x14ac:dyDescent="0.2">
      <c r="A3" t="s">
        <v>35</v>
      </c>
    </row>
    <row r="4" spans="1:14" x14ac:dyDescent="0.2">
      <c r="B4" t="s">
        <v>39</v>
      </c>
      <c r="C4">
        <v>0.1429</v>
      </c>
      <c r="D4">
        <v>0.24490000000000001</v>
      </c>
      <c r="E4">
        <v>0.1749</v>
      </c>
      <c r="F4">
        <v>0.1249</v>
      </c>
      <c r="G4">
        <v>8.9300000000000004E-2</v>
      </c>
      <c r="H4">
        <v>8.9200000000000002E-2</v>
      </c>
      <c r="I4">
        <v>8.9300000000000004E-2</v>
      </c>
      <c r="J4">
        <v>4.4600000000000001E-2</v>
      </c>
    </row>
    <row r="6" spans="1:14" x14ac:dyDescent="0.2">
      <c r="A6" t="s">
        <v>56</v>
      </c>
      <c r="G6" t="s">
        <v>57</v>
      </c>
      <c r="H6">
        <v>0.65</v>
      </c>
      <c r="I6" t="s">
        <v>58</v>
      </c>
      <c r="J6">
        <v>0.04</v>
      </c>
      <c r="K6" t="s">
        <v>59</v>
      </c>
      <c r="L6">
        <v>0.05</v>
      </c>
      <c r="M6" t="s">
        <v>60</v>
      </c>
      <c r="N6">
        <f>J6+H6*L6</f>
        <v>7.2500000000000009E-2</v>
      </c>
    </row>
    <row r="7" spans="1:14" x14ac:dyDescent="0.2">
      <c r="A7" t="s">
        <v>40</v>
      </c>
      <c r="G7">
        <v>100</v>
      </c>
      <c r="H7" t="s">
        <v>44</v>
      </c>
      <c r="I7">
        <v>75</v>
      </c>
      <c r="J7" t="s">
        <v>47</v>
      </c>
      <c r="K7">
        <v>0.25</v>
      </c>
    </row>
    <row r="8" spans="1:14" x14ac:dyDescent="0.2">
      <c r="A8" t="s">
        <v>41</v>
      </c>
      <c r="B8">
        <v>1000</v>
      </c>
      <c r="H8" t="s">
        <v>52</v>
      </c>
      <c r="I8">
        <v>20</v>
      </c>
      <c r="J8" t="s">
        <v>53</v>
      </c>
      <c r="K8">
        <v>130000</v>
      </c>
      <c r="L8" t="s">
        <v>54</v>
      </c>
      <c r="M8" s="1">
        <f>I8*K8</f>
        <v>2600000</v>
      </c>
    </row>
    <row r="9" spans="1:14" x14ac:dyDescent="0.2">
      <c r="A9" t="s">
        <v>42</v>
      </c>
      <c r="B9">
        <f>24*B8</f>
        <v>24000</v>
      </c>
      <c r="C9" t="s">
        <v>43</v>
      </c>
      <c r="F9" s="1">
        <f>(G7-I7)*B9*6</f>
        <v>3600000</v>
      </c>
    </row>
    <row r="11" spans="1:14" x14ac:dyDescent="0.2">
      <c r="A11" t="s">
        <v>36</v>
      </c>
    </row>
    <row r="12" spans="1:14" x14ac:dyDescent="0.2">
      <c r="A12" t="s">
        <v>37</v>
      </c>
      <c r="B12" s="7">
        <v>0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  <c r="M12" s="7">
        <v>11</v>
      </c>
      <c r="N12" s="7">
        <v>12</v>
      </c>
    </row>
    <row r="13" spans="1:14" x14ac:dyDescent="0.2">
      <c r="A13" t="s">
        <v>38</v>
      </c>
      <c r="B13" s="1">
        <v>-13000000</v>
      </c>
    </row>
    <row r="14" spans="1:14" x14ac:dyDescent="0.2">
      <c r="A14" t="s">
        <v>45</v>
      </c>
      <c r="D14" s="2">
        <f>F9</f>
        <v>3600000</v>
      </c>
      <c r="E14" s="2">
        <f>D14</f>
        <v>3600000</v>
      </c>
      <c r="F14" s="2">
        <f t="shared" ref="F14:N14" si="0">E14</f>
        <v>3600000</v>
      </c>
      <c r="G14" s="2">
        <f t="shared" si="0"/>
        <v>3600000</v>
      </c>
      <c r="H14" s="2">
        <f t="shared" si="0"/>
        <v>3600000</v>
      </c>
      <c r="I14" s="2">
        <f t="shared" si="0"/>
        <v>3600000</v>
      </c>
      <c r="J14" s="2">
        <f t="shared" si="0"/>
        <v>3600000</v>
      </c>
      <c r="K14" s="2">
        <f t="shared" si="0"/>
        <v>3600000</v>
      </c>
      <c r="L14" s="2">
        <f t="shared" si="0"/>
        <v>3600000</v>
      </c>
      <c r="M14" s="2">
        <f t="shared" si="0"/>
        <v>3600000</v>
      </c>
      <c r="N14" s="2">
        <f t="shared" si="0"/>
        <v>3600000</v>
      </c>
    </row>
    <row r="15" spans="1:14" x14ac:dyDescent="0.2">
      <c r="A15" t="s">
        <v>46</v>
      </c>
      <c r="D15" s="2">
        <f>D14*$K$7</f>
        <v>900000</v>
      </c>
      <c r="E15" s="2">
        <f t="shared" ref="E15:N15" si="1">E14*$K$7</f>
        <v>900000</v>
      </c>
      <c r="F15" s="2">
        <f t="shared" si="1"/>
        <v>900000</v>
      </c>
      <c r="G15" s="2">
        <f t="shared" si="1"/>
        <v>900000</v>
      </c>
      <c r="H15" s="2">
        <f t="shared" si="1"/>
        <v>900000</v>
      </c>
      <c r="I15" s="2">
        <f t="shared" si="1"/>
        <v>900000</v>
      </c>
      <c r="J15" s="2">
        <f t="shared" si="1"/>
        <v>900000</v>
      </c>
      <c r="K15" s="2">
        <f t="shared" si="1"/>
        <v>900000</v>
      </c>
      <c r="L15" s="2">
        <f t="shared" si="1"/>
        <v>900000</v>
      </c>
      <c r="M15" s="2">
        <f t="shared" si="1"/>
        <v>900000</v>
      </c>
      <c r="N15" s="2">
        <f t="shared" si="1"/>
        <v>900000</v>
      </c>
    </row>
    <row r="16" spans="1:14" x14ac:dyDescent="0.2">
      <c r="A16" t="s">
        <v>48</v>
      </c>
      <c r="D16" s="2">
        <f>D14-D15</f>
        <v>2700000</v>
      </c>
      <c r="E16" s="2">
        <f t="shared" ref="E16:N16" si="2">E14-E15</f>
        <v>2700000</v>
      </c>
      <c r="F16" s="2">
        <f t="shared" si="2"/>
        <v>2700000</v>
      </c>
      <c r="G16" s="2">
        <f t="shared" si="2"/>
        <v>2700000</v>
      </c>
      <c r="H16" s="2">
        <f t="shared" si="2"/>
        <v>2700000</v>
      </c>
      <c r="I16" s="2">
        <f t="shared" si="2"/>
        <v>2700000</v>
      </c>
      <c r="J16" s="2">
        <f t="shared" si="2"/>
        <v>2700000</v>
      </c>
      <c r="K16" s="2">
        <f t="shared" si="2"/>
        <v>2700000</v>
      </c>
      <c r="L16" s="2">
        <f t="shared" si="2"/>
        <v>2700000</v>
      </c>
      <c r="M16" s="2">
        <f t="shared" si="2"/>
        <v>2700000</v>
      </c>
      <c r="N16" s="2">
        <f t="shared" si="2"/>
        <v>2700000</v>
      </c>
    </row>
    <row r="17" spans="1:14" x14ac:dyDescent="0.2">
      <c r="A17" t="s">
        <v>49</v>
      </c>
      <c r="D17" s="2">
        <f>C4*-$B$13*$K$7</f>
        <v>464425</v>
      </c>
      <c r="E17" s="2">
        <f>D4*-$B$13*$K$7</f>
        <v>795925</v>
      </c>
      <c r="F17" s="2">
        <f>E4*-$B$13*$K$7</f>
        <v>568425</v>
      </c>
      <c r="G17" s="2">
        <f>F4*-$B$13*$K$7</f>
        <v>405925</v>
      </c>
      <c r="H17" s="2">
        <f>G4*-$B$13*$K$7</f>
        <v>290225</v>
      </c>
      <c r="I17" s="2">
        <f>H4*-$B$13*$K$7</f>
        <v>289900</v>
      </c>
      <c r="J17" s="2">
        <f>I4*-$B$13*$K$7</f>
        <v>290225</v>
      </c>
      <c r="K17" s="2">
        <f>J4*-$B$13*$K$7</f>
        <v>144950</v>
      </c>
    </row>
    <row r="18" spans="1:14" x14ac:dyDescent="0.2">
      <c r="A18" t="s">
        <v>50</v>
      </c>
      <c r="D18" s="2">
        <f>D16+D17</f>
        <v>3164425</v>
      </c>
      <c r="E18" s="2">
        <f t="shared" ref="E18:N18" si="3">E16+E17</f>
        <v>3495925</v>
      </c>
      <c r="F18" s="2">
        <f t="shared" si="3"/>
        <v>3268425</v>
      </c>
      <c r="G18" s="2">
        <f t="shared" si="3"/>
        <v>3105925</v>
      </c>
      <c r="H18" s="2">
        <f t="shared" si="3"/>
        <v>2990225</v>
      </c>
      <c r="I18" s="2">
        <f t="shared" si="3"/>
        <v>2989900</v>
      </c>
      <c r="J18" s="2">
        <f t="shared" si="3"/>
        <v>2990225</v>
      </c>
      <c r="K18" s="2">
        <f t="shared" si="3"/>
        <v>2844950</v>
      </c>
      <c r="L18" s="2">
        <f t="shared" si="3"/>
        <v>2700000</v>
      </c>
      <c r="M18" s="2">
        <f t="shared" si="3"/>
        <v>2700000</v>
      </c>
      <c r="N18" s="2">
        <f t="shared" si="3"/>
        <v>2700000</v>
      </c>
    </row>
    <row r="19" spans="1:14" x14ac:dyDescent="0.2">
      <c r="A19" t="s">
        <v>51</v>
      </c>
      <c r="C19" s="1">
        <v>-750000</v>
      </c>
      <c r="N19" s="2">
        <f>-C19</f>
        <v>750000</v>
      </c>
    </row>
    <row r="20" spans="1:14" x14ac:dyDescent="0.2">
      <c r="A20" t="s">
        <v>55</v>
      </c>
      <c r="B20" s="2">
        <f>-M8</f>
        <v>-2600000</v>
      </c>
      <c r="C20" s="2"/>
      <c r="N20" s="2">
        <f>-B20</f>
        <v>2600000</v>
      </c>
    </row>
    <row r="21" spans="1:14" x14ac:dyDescent="0.2">
      <c r="A21" t="s">
        <v>63</v>
      </c>
      <c r="B21" s="2">
        <f>B13+B18+B19+B20</f>
        <v>-15600000</v>
      </c>
      <c r="C21" s="2">
        <f>C19</f>
        <v>-750000</v>
      </c>
      <c r="D21" s="2">
        <f>C13+D18+D19+D20</f>
        <v>3164425</v>
      </c>
      <c r="E21" s="2">
        <f>D13+E18+E19+E20</f>
        <v>3495925</v>
      </c>
      <c r="F21" s="2">
        <f>E13+F18+F19+F20</f>
        <v>3268425</v>
      </c>
      <c r="G21" s="2">
        <f>F13+G18+G19+G20</f>
        <v>3105925</v>
      </c>
      <c r="H21" s="2">
        <f>G13+H18+H19+H20</f>
        <v>2990225</v>
      </c>
      <c r="I21" s="2">
        <f>H13+I18+I19+I20</f>
        <v>2989900</v>
      </c>
      <c r="J21" s="2">
        <f>I13+J18+J19+J20</f>
        <v>2990225</v>
      </c>
      <c r="K21" s="2">
        <f>J13+K18+K19+K20</f>
        <v>2844950</v>
      </c>
      <c r="L21" s="2">
        <f>K13+L18+L19+L20</f>
        <v>2700000</v>
      </c>
      <c r="M21" s="2">
        <f>L13+M18+M19+M20</f>
        <v>2700000</v>
      </c>
      <c r="N21" s="2">
        <f>M13+N18+N19+N20</f>
        <v>6050000</v>
      </c>
    </row>
    <row r="22" spans="1:14" x14ac:dyDescent="0.2">
      <c r="A22" t="s">
        <v>61</v>
      </c>
      <c r="B22">
        <f>EXP(-B12*$N$6)</f>
        <v>1</v>
      </c>
      <c r="C22">
        <f t="shared" ref="C22:M22" si="4">EXP(-C12*$N$6)</f>
        <v>0.93006574666027841</v>
      </c>
      <c r="D22">
        <f t="shared" si="4"/>
        <v>0.8650222931107413</v>
      </c>
      <c r="E22">
        <f t="shared" si="4"/>
        <v>0.80452760491982778</v>
      </c>
      <c r="F22">
        <f t="shared" si="4"/>
        <v>0.74826356757856516</v>
      </c>
      <c r="G22">
        <f t="shared" si="4"/>
        <v>0.695934313678642</v>
      </c>
      <c r="H22">
        <f t="shared" si="4"/>
        <v>0.64726466707803454</v>
      </c>
      <c r="I22">
        <f t="shared" si="4"/>
        <v>0.60199869587274879</v>
      </c>
      <c r="J22">
        <f t="shared" si="4"/>
        <v>0.55989836656540204</v>
      </c>
      <c r="K22">
        <f t="shared" si="4"/>
        <v>0.52074229235352087</v>
      </c>
      <c r="L22">
        <f t="shared" si="4"/>
        <v>0.48432456895536241</v>
      </c>
      <c r="M22">
        <f t="shared" si="4"/>
        <v>0.45045369185138667</v>
      </c>
      <c r="N22">
        <f t="shared" ref="N22" si="5">EXP(-N12*$N$6)</f>
        <v>0.41895154924763894</v>
      </c>
    </row>
    <row r="23" spans="1:14" x14ac:dyDescent="0.2">
      <c r="A23" t="s">
        <v>62</v>
      </c>
      <c r="B23" s="2">
        <f>B21*B22</f>
        <v>-15600000</v>
      </c>
      <c r="C23" s="2">
        <f>C21*C22</f>
        <v>-697549.30999520887</v>
      </c>
      <c r="D23" s="2">
        <f t="shared" ref="D23:N23" si="6">D21*D22</f>
        <v>2737298.1698769578</v>
      </c>
      <c r="E23" s="2">
        <f t="shared" si="6"/>
        <v>2812568.1672293488</v>
      </c>
      <c r="F23" s="2">
        <f t="shared" si="6"/>
        <v>2445643.350862972</v>
      </c>
      <c r="G23" s="2">
        <f t="shared" si="6"/>
        <v>2161519.7832123362</v>
      </c>
      <c r="H23" s="2">
        <f t="shared" si="6"/>
        <v>1935466.9891134158</v>
      </c>
      <c r="I23" s="2">
        <f t="shared" si="6"/>
        <v>1799915.9007899316</v>
      </c>
      <c r="J23" s="2">
        <f t="shared" si="6"/>
        <v>1674222.0931630293</v>
      </c>
      <c r="K23" s="2">
        <f t="shared" si="6"/>
        <v>1481485.7846311491</v>
      </c>
      <c r="L23" s="2">
        <f t="shared" si="6"/>
        <v>1307676.3361794786</v>
      </c>
      <c r="M23" s="2">
        <f t="shared" si="6"/>
        <v>1216224.967998744</v>
      </c>
      <c r="N23" s="2">
        <f t="shared" si="6"/>
        <v>2534656.8729482158</v>
      </c>
    </row>
    <row r="24" spans="1:14" x14ac:dyDescent="0.2">
      <c r="A24" t="s">
        <v>64</v>
      </c>
      <c r="B24" s="2">
        <f>SUM(B23:N23)</f>
        <v>5809129.10601037</v>
      </c>
    </row>
    <row r="27" spans="1:14" x14ac:dyDescent="0.2">
      <c r="A27" s="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EB75-2003-A546-A618-E4271905C62C}">
  <dimension ref="A1:F11"/>
  <sheetViews>
    <sheetView zoomScale="150" zoomScaleNormal="150" workbookViewId="0">
      <selection activeCell="A7" sqref="A7"/>
    </sheetView>
  </sheetViews>
  <sheetFormatPr baseColWidth="10" defaultRowHeight="16" x14ac:dyDescent="0.2"/>
  <sheetData>
    <row r="1" spans="1:6" x14ac:dyDescent="0.2">
      <c r="A1" t="s">
        <v>12</v>
      </c>
    </row>
    <row r="2" spans="1:6" x14ac:dyDescent="0.2">
      <c r="B2" t="s">
        <v>13</v>
      </c>
      <c r="F2" t="s">
        <v>17</v>
      </c>
    </row>
    <row r="3" spans="1:6" x14ac:dyDescent="0.2">
      <c r="B3" t="s">
        <v>14</v>
      </c>
    </row>
    <row r="4" spans="1:6" x14ac:dyDescent="0.2">
      <c r="C4" t="s">
        <v>15</v>
      </c>
    </row>
    <row r="5" spans="1:6" x14ac:dyDescent="0.2">
      <c r="C5" t="s">
        <v>16</v>
      </c>
    </row>
    <row r="7" spans="1:6" x14ac:dyDescent="0.2">
      <c r="A7" s="5" t="s">
        <v>18</v>
      </c>
    </row>
    <row r="8" spans="1:6" x14ac:dyDescent="0.2">
      <c r="C8" t="s">
        <v>20</v>
      </c>
    </row>
    <row r="10" spans="1:6" x14ac:dyDescent="0.2">
      <c r="A10" t="s">
        <v>19</v>
      </c>
    </row>
    <row r="11" spans="1:6" x14ac:dyDescent="0.2">
      <c r="B1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Wimmert</vt:lpstr>
      <vt:lpstr>Cartersville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2021-02-23T15:29:28Z</dcterms:created>
  <dcterms:modified xsi:type="dcterms:W3CDTF">2021-02-23T20:03:32Z</dcterms:modified>
</cp:coreProperties>
</file>